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Q:\Shared drives\Budgets\2024 Budgets\Cotton\"/>
    </mc:Choice>
  </mc:AlternateContent>
  <xr:revisionPtr revIDLastSave="0" documentId="13_ncr:1_{96830CE3-0DAA-4169-8D7B-CAD5D72ED005}" xr6:coauthVersionLast="47" xr6:coauthVersionMax="47" xr10:uidLastSave="{00000000-0000-0000-0000-000000000000}"/>
  <bookViews>
    <workbookView xWindow="-120" yWindow="-120" windowWidth="29040" windowHeight="15840" xr2:uid="{705A0B1F-E353-4952-9B67-38B0662D4A38}"/>
  </bookViews>
  <sheets>
    <sheet name="Introduction" sheetId="4" r:id="rId1"/>
    <sheet name="Cotton Conv" sheetId="1" r:id="rId2"/>
    <sheet name="Cotton No Till" sheetId="3" r:id="rId3"/>
    <sheet name="Cotton Strip Till" sheetId="2" r:id="rId4"/>
    <sheet name="Tables" sheetId="5" r:id="rId5"/>
  </sheets>
  <externalReferences>
    <externalReference r:id="rId6"/>
  </externalReferences>
  <definedNames>
    <definedName name="_xlnm.Print_Area" localSheetId="1">'Cotton Conv'!$A$1:$G$38</definedName>
    <definedName name="_xlnm.Print_Area" localSheetId="2">'Cotton No Till'!$A$1:$G$55</definedName>
    <definedName name="_xlnm.Print_Area" localSheetId="3">'Cotton Strip Till'!$A$1:$G$55</definedName>
    <definedName name="Seeds">[1]Seed!$A$7:$H$190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5" l="1"/>
  <c r="M39" i="5"/>
  <c r="I39" i="5"/>
  <c r="L39" i="5" s="1"/>
  <c r="E39" i="5"/>
  <c r="B39" i="5"/>
  <c r="C39" i="5" s="1"/>
  <c r="K38" i="5"/>
  <c r="I38" i="5"/>
  <c r="J38" i="5" s="1"/>
  <c r="B38" i="5"/>
  <c r="G38" i="5" s="1"/>
  <c r="N37" i="5"/>
  <c r="M37" i="5"/>
  <c r="L37" i="5"/>
  <c r="E37" i="5"/>
  <c r="I36" i="5"/>
  <c r="N36" i="5" s="1"/>
  <c r="G36" i="5"/>
  <c r="B36" i="5"/>
  <c r="E36" i="5" s="1"/>
  <c r="N35" i="5"/>
  <c r="M35" i="5"/>
  <c r="L35" i="5"/>
  <c r="K35" i="5"/>
  <c r="I35" i="5"/>
  <c r="J35" i="5" s="1"/>
  <c r="B35" i="5"/>
  <c r="C35" i="5" s="1"/>
  <c r="N33" i="5"/>
  <c r="M33" i="5"/>
  <c r="K33" i="5"/>
  <c r="K37" i="5" s="1"/>
  <c r="J33" i="5"/>
  <c r="J37" i="5" s="1"/>
  <c r="G33" i="5"/>
  <c r="G39" i="5" s="1"/>
  <c r="F33" i="5"/>
  <c r="F36" i="5" s="1"/>
  <c r="D33" i="5"/>
  <c r="D37" i="5" s="1"/>
  <c r="C33" i="5"/>
  <c r="C37" i="5" s="1"/>
  <c r="P27" i="5"/>
  <c r="U27" i="5" s="1"/>
  <c r="N27" i="5"/>
  <c r="M27" i="5"/>
  <c r="I27" i="5"/>
  <c r="L27" i="5" s="1"/>
  <c r="F27" i="5"/>
  <c r="E27" i="5"/>
  <c r="D27" i="5"/>
  <c r="B27" i="5"/>
  <c r="C27" i="5" s="1"/>
  <c r="P26" i="5"/>
  <c r="Q26" i="5" s="1"/>
  <c r="I26" i="5"/>
  <c r="N26" i="5" s="1"/>
  <c r="F26" i="5"/>
  <c r="B26" i="5"/>
  <c r="E26" i="5" s="1"/>
  <c r="T25" i="5"/>
  <c r="S25" i="5"/>
  <c r="R25" i="5"/>
  <c r="L25" i="5"/>
  <c r="F25" i="5"/>
  <c r="E25" i="5"/>
  <c r="T24" i="5"/>
  <c r="S24" i="5"/>
  <c r="R24" i="5"/>
  <c r="Q24" i="5"/>
  <c r="P24" i="5"/>
  <c r="I24" i="5"/>
  <c r="N24" i="5" s="1"/>
  <c r="B24" i="5"/>
  <c r="F24" i="5" s="1"/>
  <c r="T23" i="5"/>
  <c r="S23" i="5"/>
  <c r="Q23" i="5"/>
  <c r="P23" i="5"/>
  <c r="L23" i="5"/>
  <c r="K23" i="5"/>
  <c r="J23" i="5"/>
  <c r="I23" i="5"/>
  <c r="B23" i="5"/>
  <c r="G23" i="5" s="1"/>
  <c r="U21" i="5"/>
  <c r="U23" i="5" s="1"/>
  <c r="T21" i="5"/>
  <c r="R21" i="5"/>
  <c r="R23" i="5" s="1"/>
  <c r="Q21" i="5"/>
  <c r="Q25" i="5" s="1"/>
  <c r="N21" i="5"/>
  <c r="N25" i="5" s="1"/>
  <c r="M21" i="5"/>
  <c r="M25" i="5" s="1"/>
  <c r="K21" i="5"/>
  <c r="K25" i="5" s="1"/>
  <c r="J21" i="5"/>
  <c r="J25" i="5" s="1"/>
  <c r="G21" i="5"/>
  <c r="G26" i="5" s="1"/>
  <c r="F21" i="5"/>
  <c r="D21" i="5"/>
  <c r="D25" i="5" s="1"/>
  <c r="C21" i="5"/>
  <c r="C25" i="5" s="1"/>
  <c r="T15" i="5"/>
  <c r="S15" i="5"/>
  <c r="R15" i="5"/>
  <c r="Q15" i="5"/>
  <c r="P15" i="5"/>
  <c r="I15" i="5"/>
  <c r="N15" i="5" s="1"/>
  <c r="G15" i="5"/>
  <c r="B15" i="5"/>
  <c r="F15" i="5" s="1"/>
  <c r="U14" i="5"/>
  <c r="T14" i="5"/>
  <c r="S14" i="5"/>
  <c r="P14" i="5"/>
  <c r="R14" i="5" s="1"/>
  <c r="L14" i="5"/>
  <c r="K14" i="5"/>
  <c r="J14" i="5"/>
  <c r="I14" i="5"/>
  <c r="B14" i="5"/>
  <c r="C14" i="5" s="1"/>
  <c r="U13" i="5"/>
  <c r="S13" i="5"/>
  <c r="L13" i="5"/>
  <c r="K13" i="5"/>
  <c r="E13" i="5"/>
  <c r="U12" i="5"/>
  <c r="T12" i="5"/>
  <c r="P12" i="5"/>
  <c r="S12" i="5" s="1"/>
  <c r="L12" i="5"/>
  <c r="K12" i="5"/>
  <c r="I12" i="5"/>
  <c r="J12" i="5" s="1"/>
  <c r="B12" i="5"/>
  <c r="E12" i="5" s="1"/>
  <c r="P11" i="5"/>
  <c r="U11" i="5" s="1"/>
  <c r="I11" i="5"/>
  <c r="L11" i="5" s="1"/>
  <c r="G11" i="5"/>
  <c r="F11" i="5"/>
  <c r="E11" i="5"/>
  <c r="D11" i="5"/>
  <c r="B11" i="5"/>
  <c r="C11" i="5" s="1"/>
  <c r="U9" i="5"/>
  <c r="U15" i="5" s="1"/>
  <c r="T9" i="5"/>
  <c r="T13" i="5" s="1"/>
  <c r="R9" i="5"/>
  <c r="R13" i="5" s="1"/>
  <c r="Q9" i="5"/>
  <c r="Q14" i="5" s="1"/>
  <c r="N9" i="5"/>
  <c r="N11" i="5" s="1"/>
  <c r="M9" i="5"/>
  <c r="M11" i="5" s="1"/>
  <c r="K9" i="5"/>
  <c r="J9" i="5"/>
  <c r="J13" i="5" s="1"/>
  <c r="G9" i="5"/>
  <c r="G13" i="5" s="1"/>
  <c r="F9" i="5"/>
  <c r="F13" i="5" s="1"/>
  <c r="D9" i="5"/>
  <c r="D13" i="5" s="1"/>
  <c r="C9" i="5"/>
  <c r="C13" i="5" s="1"/>
  <c r="F14" i="2"/>
  <c r="C12" i="5" l="1"/>
  <c r="M13" i="5"/>
  <c r="J15" i="5"/>
  <c r="R26" i="5"/>
  <c r="N12" i="5"/>
  <c r="D14" i="5"/>
  <c r="M23" i="5"/>
  <c r="S26" i="5"/>
  <c r="F37" i="5"/>
  <c r="R11" i="5"/>
  <c r="F12" i="5"/>
  <c r="Q13" i="5"/>
  <c r="E14" i="5"/>
  <c r="N14" i="5"/>
  <c r="C15" i="5"/>
  <c r="L15" i="5"/>
  <c r="E23" i="5"/>
  <c r="N23" i="5"/>
  <c r="C24" i="5"/>
  <c r="L24" i="5"/>
  <c r="U24" i="5"/>
  <c r="K26" i="5"/>
  <c r="T26" i="5"/>
  <c r="R27" i="5"/>
  <c r="F35" i="5"/>
  <c r="K36" i="5"/>
  <c r="G37" i="5"/>
  <c r="D38" i="5"/>
  <c r="M38" i="5"/>
  <c r="D12" i="5"/>
  <c r="J24" i="5"/>
  <c r="U25" i="5"/>
  <c r="G27" i="5"/>
  <c r="Q27" i="5"/>
  <c r="J36" i="5"/>
  <c r="C38" i="5"/>
  <c r="J11" i="5"/>
  <c r="S11" i="5"/>
  <c r="G12" i="5"/>
  <c r="Q12" i="5"/>
  <c r="F14" i="5"/>
  <c r="D15" i="5"/>
  <c r="M15" i="5"/>
  <c r="F23" i="5"/>
  <c r="D24" i="5"/>
  <c r="M24" i="5"/>
  <c r="C26" i="5"/>
  <c r="L26" i="5"/>
  <c r="U26" i="5"/>
  <c r="J27" i="5"/>
  <c r="S27" i="5"/>
  <c r="G35" i="5"/>
  <c r="C36" i="5"/>
  <c r="L36" i="5"/>
  <c r="E38" i="5"/>
  <c r="N38" i="5"/>
  <c r="J39" i="5"/>
  <c r="M12" i="5"/>
  <c r="C23" i="5"/>
  <c r="N13" i="5"/>
  <c r="M14" i="5"/>
  <c r="K15" i="5"/>
  <c r="D23" i="5"/>
  <c r="K24" i="5"/>
  <c r="J26" i="5"/>
  <c r="E35" i="5"/>
  <c r="K11" i="5"/>
  <c r="T11" i="5"/>
  <c r="R12" i="5"/>
  <c r="G14" i="5"/>
  <c r="E15" i="5"/>
  <c r="E24" i="5"/>
  <c r="D26" i="5"/>
  <c r="M26" i="5"/>
  <c r="K27" i="5"/>
  <c r="T27" i="5"/>
  <c r="D36" i="5"/>
  <c r="M36" i="5"/>
  <c r="F38" i="5"/>
  <c r="K39" i="5"/>
  <c r="D35" i="5"/>
  <c r="F39" i="5"/>
  <c r="Q11" i="5"/>
  <c r="L38" i="5"/>
  <c r="G24" i="5"/>
  <c r="D39" i="5"/>
  <c r="G25" i="5"/>
  <c r="D24" i="3"/>
  <c r="D24" i="1"/>
  <c r="D24" i="2"/>
  <c r="F16" i="2" l="1"/>
  <c r="F16" i="3"/>
  <c r="F16" i="1"/>
  <c r="F7" i="2"/>
  <c r="F27" i="2"/>
  <c r="F28" i="2" s="1"/>
  <c r="F23" i="2"/>
  <c r="F22" i="2"/>
  <c r="F21" i="2"/>
  <c r="F20" i="2"/>
  <c r="D20" i="2"/>
  <c r="F19" i="2"/>
  <c r="F18" i="2"/>
  <c r="F17" i="2"/>
  <c r="F15" i="2"/>
  <c r="F13" i="2"/>
  <c r="F12" i="2"/>
  <c r="F11" i="2"/>
  <c r="F10" i="2"/>
  <c r="F9" i="2"/>
  <c r="F6" i="2"/>
  <c r="F27" i="3"/>
  <c r="F28" i="3" s="1"/>
  <c r="F23" i="3"/>
  <c r="F22" i="3"/>
  <c r="F21" i="3"/>
  <c r="D20" i="3"/>
  <c r="F20" i="3" s="1"/>
  <c r="F19" i="3"/>
  <c r="F18" i="3"/>
  <c r="F17" i="3"/>
  <c r="F15" i="3"/>
  <c r="F14" i="3"/>
  <c r="F13" i="3"/>
  <c r="F12" i="3"/>
  <c r="F11" i="3"/>
  <c r="F10" i="3"/>
  <c r="F9" i="3"/>
  <c r="F7" i="3"/>
  <c r="F6" i="3"/>
  <c r="F27" i="1"/>
  <c r="F28" i="1" s="1"/>
  <c r="F23" i="1"/>
  <c r="F22" i="1"/>
  <c r="F21" i="1"/>
  <c r="D20" i="1"/>
  <c r="F20" i="1" s="1"/>
  <c r="F19" i="1"/>
  <c r="F18" i="1"/>
  <c r="F17" i="1"/>
  <c r="F15" i="1"/>
  <c r="F14" i="1"/>
  <c r="F13" i="1"/>
  <c r="F12" i="1"/>
  <c r="F11" i="1"/>
  <c r="F10" i="1"/>
  <c r="F9" i="1"/>
  <c r="F7" i="1"/>
  <c r="F6" i="1"/>
  <c r="F24" i="2" l="1"/>
  <c r="F25" i="2" s="1"/>
  <c r="F24" i="3"/>
  <c r="F25" i="3" s="1"/>
  <c r="F8" i="2"/>
  <c r="F8" i="3"/>
  <c r="F24" i="1"/>
  <c r="F8" i="1"/>
  <c r="G36" i="3" l="1"/>
  <c r="C36" i="3"/>
  <c r="D29" i="3"/>
  <c r="F29" i="3" s="1"/>
  <c r="F30" i="3" s="1"/>
  <c r="F31" i="3" s="1"/>
  <c r="C37" i="3" s="1"/>
  <c r="F26" i="2"/>
  <c r="G36" i="2"/>
  <c r="C36" i="2"/>
  <c r="D29" i="2"/>
  <c r="F29" i="2" s="1"/>
  <c r="F30" i="2" s="1"/>
  <c r="F31" i="2" s="1"/>
  <c r="F26" i="3"/>
  <c r="F25" i="1"/>
  <c r="F32" i="3" l="1"/>
  <c r="G37" i="3"/>
  <c r="C37" i="2"/>
  <c r="G37" i="2"/>
  <c r="F32" i="2"/>
  <c r="C36" i="1"/>
  <c r="G36" i="1"/>
  <c r="D29" i="1"/>
  <c r="F29" i="1" s="1"/>
  <c r="F30" i="1" s="1"/>
  <c r="F31" i="1" s="1"/>
  <c r="F26" i="1"/>
  <c r="C37" i="1" l="1"/>
  <c r="G37" i="1"/>
  <c r="F32" i="1"/>
</calcChain>
</file>

<file path=xl/sharedStrings.xml><?xml version="1.0" encoding="utf-8"?>
<sst xmlns="http://schemas.openxmlformats.org/spreadsheetml/2006/main" count="242" uniqueCount="77">
  <si>
    <t>1. GROSS RECEIPTS</t>
  </si>
  <si>
    <t>2. VARIABLE COSTS</t>
  </si>
  <si>
    <t>4. FIXED COSTS</t>
  </si>
  <si>
    <t>5. OTHER COSTS</t>
  </si>
  <si>
    <t xml:space="preserve"> BREAK-EVEN YIELD</t>
  </si>
  <si>
    <t xml:space="preserve">     BREAK-EVEN PRICE</t>
  </si>
  <si>
    <t xml:space="preserve">To make changes in the budgets on the following tabs change blue numbers only. The black font indicates numbers not intended to be changed or numbers that have related formulas. If you mistakenly make changes to these numbers you can always downloand the budgets again to regain the fomulas that you need. </t>
  </si>
  <si>
    <t>Instructions for Use</t>
  </si>
  <si>
    <t>Cotton, Conventional-2024</t>
  </si>
  <si>
    <t>Cotton, No-Till -2024</t>
  </si>
  <si>
    <t>Cotton, Strip-Till -2024</t>
  </si>
  <si>
    <t>Category</t>
  </si>
  <si>
    <t>Item</t>
  </si>
  <si>
    <t>Unit</t>
  </si>
  <si>
    <t>Quantity</t>
  </si>
  <si>
    <t>Price or Cost/Unit</t>
  </si>
  <si>
    <t>Total Per Acre</t>
  </si>
  <si>
    <t>Cotton Lint</t>
  </si>
  <si>
    <t>Cotton Seed</t>
  </si>
  <si>
    <t>Total Receipts:</t>
  </si>
  <si>
    <t>Seed</t>
  </si>
  <si>
    <t>thou</t>
  </si>
  <si>
    <t>Fertilizer, 30% N Solution</t>
  </si>
  <si>
    <t>Fertilizer, Phosphate (DAP 18-46-0)</t>
  </si>
  <si>
    <t>Fertilizer, Potash (0-0-60)</t>
  </si>
  <si>
    <t>Fertilizer, Boron</t>
  </si>
  <si>
    <t>Fertilizer, Sulfur</t>
  </si>
  <si>
    <t>Lime (Prorated)</t>
  </si>
  <si>
    <t>ton</t>
  </si>
  <si>
    <t>acre</t>
  </si>
  <si>
    <t>Growth Regulators and Defoliants</t>
  </si>
  <si>
    <t>Scouting</t>
  </si>
  <si>
    <t>Ginning</t>
  </si>
  <si>
    <t>Crop Insurance</t>
  </si>
  <si>
    <t>Tractor/Machinery</t>
  </si>
  <si>
    <t>Labor</t>
  </si>
  <si>
    <t>hr</t>
  </si>
  <si>
    <t>Interest on Operating Capital</t>
  </si>
  <si>
    <t>$</t>
  </si>
  <si>
    <t>Total Variable Costs:</t>
  </si>
  <si>
    <t>3. INCOME ABOVE VARIABLE COSTS</t>
  </si>
  <si>
    <t>6. TOTAL COSTS</t>
  </si>
  <si>
    <t>General Overhead</t>
  </si>
  <si>
    <t>Variable Costs</t>
  </si>
  <si>
    <t>Total Costs</t>
  </si>
  <si>
    <t>7. NET RETURNS TO LAND, RISK, AND MANAGEMENT</t>
  </si>
  <si>
    <t>lbs</t>
  </si>
  <si>
    <t>Herbicides</t>
  </si>
  <si>
    <t>Insecticides</t>
  </si>
  <si>
    <t>Total Fixed Costs:</t>
  </si>
  <si>
    <t>Total Other Costs:</t>
  </si>
  <si>
    <t>Tobacco Yield (pounds/acre)</t>
  </si>
  <si>
    <t>Net Return ($/acre) at $/pound Price</t>
  </si>
  <si>
    <t>Soybean Yield (bushels/acre)</t>
  </si>
  <si>
    <t>Net return ($/acre) at $/bushel Price</t>
  </si>
  <si>
    <t>Total Cost of Production ($/acre)</t>
  </si>
  <si>
    <t>Net Return ($/acre)</t>
  </si>
  <si>
    <t xml:space="preserve">Net Return ($/acre) </t>
  </si>
  <si>
    <t>Grain Sorghum Yield (bushels/acre)</t>
  </si>
  <si>
    <t>Net Return ($/acre) at $/bushel Price</t>
  </si>
  <si>
    <t>Cotton Yield (pounds lint/acre)</t>
  </si>
  <si>
    <t>Net return ($/acre) at $/pound Price</t>
  </si>
  <si>
    <t>Corn Yield (bushels/acre)</t>
  </si>
  <si>
    <t>Wheat Yield (bushels/acre)</t>
  </si>
  <si>
    <t>Peanut Yield (tons/acre)</t>
  </si>
  <si>
    <t>Net Return ($/acre) at $/ton</t>
  </si>
  <si>
    <t>Net return ($/acre)</t>
  </si>
  <si>
    <t>Estimated Costs and Returns Per Acre, 2024</t>
  </si>
  <si>
    <t>900 Pound Yield</t>
  </si>
  <si>
    <t>830 Pound Yield</t>
  </si>
  <si>
    <t>Assumptions made in creation of this budget as well as other cost related details can be found by downloading the individual budgets at:</t>
  </si>
  <si>
    <t>https://cals.ncsu.edu/are-extension/business-planning-and-operations/enterprise-budgets/cotton-budgets/</t>
  </si>
  <si>
    <t>Return to Land, Overhead, and Management at Various Yields and Costs of Production for Various Crops</t>
  </si>
  <si>
    <r>
      <t xml:space="preserve">Yields, and costs colored in </t>
    </r>
    <r>
      <rPr>
        <sz val="11"/>
        <color rgb="FF0000FF"/>
        <rFont val="Univers LT Std 47 Cn Lt"/>
      </rPr>
      <t>blue</t>
    </r>
    <r>
      <rPr>
        <sz val="11"/>
        <color theme="1"/>
        <rFont val="Univers LT Std 47 Cn Lt"/>
      </rPr>
      <t xml:space="preserve"> and be changed to fit your farms 3 to 5 year average to show your farms risk.</t>
    </r>
  </si>
  <si>
    <r>
      <t xml:space="preserve">Use the price in </t>
    </r>
    <r>
      <rPr>
        <sz val="11"/>
        <color rgb="FF0000FF"/>
        <rFont val="Univers LT Std 47 Cn Lt"/>
      </rPr>
      <t>blue</t>
    </r>
    <r>
      <rPr>
        <sz val="11"/>
        <color theme="1"/>
        <rFont val="Univers LT Std 47 Cn Lt"/>
      </rPr>
      <t xml:space="preserve"> to estimate what you expect for the coming years price or you can use a 3 year average based on your received prices.</t>
    </r>
  </si>
  <si>
    <t>Sweet Potato Yield (40lb bushel/acre)</t>
  </si>
  <si>
    <t>Net Return ($/acre) at $/bushel Price Assuming 70% No. 1, 20% Jumbo, and 10% Canner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</si>
</sst>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quot;$&quot;#,##0.000"/>
  </numFmts>
  <fonts count="28">
    <font>
      <sz val="11"/>
      <color theme="1"/>
      <name val="Calibri"/>
      <family val="2"/>
      <scheme val="minor"/>
    </font>
    <font>
      <sz val="11"/>
      <color theme="1"/>
      <name val="Calibri"/>
      <family val="2"/>
      <scheme val="minor"/>
    </font>
    <font>
      <sz val="12"/>
      <color indexed="8"/>
      <name val="Arial"/>
    </font>
    <font>
      <sz val="12"/>
      <color indexed="8"/>
      <name val="Arial"/>
      <family val="2"/>
    </font>
    <font>
      <b/>
      <sz val="12"/>
      <color indexed="8"/>
      <name val="Arial"/>
      <family val="2"/>
    </font>
    <font>
      <b/>
      <i/>
      <u/>
      <sz val="12"/>
      <color indexed="8"/>
      <name val="Arial"/>
      <family val="2"/>
    </font>
    <font>
      <b/>
      <u/>
      <sz val="12"/>
      <color indexed="8"/>
      <name val="Arial"/>
      <family val="2"/>
    </font>
    <font>
      <sz val="12"/>
      <color indexed="12"/>
      <name val="Arial"/>
      <family val="2"/>
    </font>
    <font>
      <sz val="12"/>
      <name val="Arial"/>
      <family val="2"/>
    </font>
    <font>
      <sz val="12"/>
      <color indexed="9"/>
      <name val="Arial"/>
      <family val="2"/>
    </font>
    <font>
      <b/>
      <sz val="36"/>
      <color indexed="9"/>
      <name val="Arial Narrow"/>
      <family val="2"/>
    </font>
    <font>
      <u/>
      <sz val="9"/>
      <color indexed="12"/>
      <name val="Arial"/>
      <family val="2"/>
    </font>
    <font>
      <sz val="10"/>
      <name val="Arial"/>
      <family val="2"/>
    </font>
    <font>
      <b/>
      <sz val="36"/>
      <color rgb="FFFFFFFF"/>
      <name val="Arial Narrow"/>
      <family val="2"/>
    </font>
    <font>
      <sz val="12"/>
      <color rgb="FFFFFFFF"/>
      <name val="Arial"/>
      <family val="2"/>
    </font>
    <font>
      <sz val="12"/>
      <color rgb="FF0000FF"/>
      <name val="Arial"/>
      <family val="2"/>
    </font>
    <font>
      <b/>
      <sz val="14"/>
      <color rgb="FF000000"/>
      <name val="Arial"/>
      <family val="2"/>
    </font>
    <font>
      <b/>
      <sz val="11"/>
      <color theme="1"/>
      <name val="Calibri"/>
      <family val="2"/>
      <scheme val="minor"/>
    </font>
    <font>
      <sz val="11"/>
      <color theme="0"/>
      <name val="Calibri"/>
      <family val="2"/>
      <scheme val="minor"/>
    </font>
    <font>
      <sz val="9"/>
      <color theme="1"/>
      <name val="Univers LT Std 47 Cn Lt"/>
    </font>
    <font>
      <b/>
      <sz val="10"/>
      <color theme="1"/>
      <name val="Univers LT Std 47 Cn Lt"/>
    </font>
    <font>
      <sz val="9"/>
      <color rgb="FF0000FF"/>
      <name val="Univers LT Std 47 Cn Lt"/>
    </font>
    <font>
      <b/>
      <sz val="12"/>
      <color theme="1"/>
      <name val="Univers LT Std 47 Cn Lt"/>
    </font>
    <font>
      <sz val="11"/>
      <color theme="1"/>
      <name val="Univers LT Std 47 Cn Lt"/>
    </font>
    <font>
      <sz val="11"/>
      <color rgb="FF0000FF"/>
      <name val="Univers LT Std 47 Cn Lt"/>
    </font>
    <font>
      <b/>
      <sz val="9"/>
      <color theme="1"/>
      <name val="Univers LT Std 47 Cn Lt"/>
    </font>
    <font>
      <b/>
      <sz val="9"/>
      <color rgb="FF0000FF"/>
      <name val="Univers LT Std 47 Cn Lt"/>
    </font>
    <font>
      <sz val="9"/>
      <name val="Univers LT Std 47 Cn Lt"/>
    </font>
  </fonts>
  <fills count="3">
    <fill>
      <patternFill patternType="none"/>
    </fill>
    <fill>
      <patternFill patternType="gray125"/>
    </fill>
    <fill>
      <patternFill patternType="solid">
        <fgColor rgb="FFCC0000"/>
        <bgColor indexed="64"/>
      </patternFill>
    </fill>
  </fills>
  <borders count="26">
    <border>
      <left/>
      <right/>
      <top/>
      <bottom/>
      <diagonal/>
    </border>
    <border>
      <left/>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ck">
        <color indexed="64"/>
      </top>
      <bottom style="thick">
        <color indexed="64"/>
      </bottom>
      <diagonal/>
    </border>
    <border>
      <left/>
      <right/>
      <top/>
      <bottom style="thick">
        <color auto="1"/>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4" fontId="1" fillId="0" borderId="0" applyFont="0" applyFill="0" applyBorder="0" applyAlignment="0" applyProtection="0"/>
    <xf numFmtId="2" fontId="2" fillId="0" borderId="0"/>
    <xf numFmtId="44" fontId="12" fillId="0" borderId="0" applyFont="0" applyFill="0" applyBorder="0" applyAlignment="0" applyProtection="0"/>
    <xf numFmtId="0" fontId="11" fillId="0" borderId="0" applyNumberFormat="0" applyFill="0" applyBorder="0" applyAlignment="0" applyProtection="0">
      <alignment vertical="top"/>
      <protection locked="0"/>
    </xf>
    <xf numFmtId="2" fontId="3" fillId="0" borderId="0"/>
  </cellStyleXfs>
  <cellXfs count="137">
    <xf numFmtId="0" fontId="0" fillId="0" borderId="0" xfId="0"/>
    <xf numFmtId="2" fontId="3" fillId="0" borderId="0" xfId="0" applyNumberFormat="1" applyFont="1" applyProtection="1">
      <protection locked="0"/>
    </xf>
    <xf numFmtId="164" fontId="3" fillId="0" borderId="0" xfId="0" applyNumberFormat="1" applyFont="1" applyAlignment="1" applyProtection="1">
      <alignment horizontal="center"/>
      <protection locked="0"/>
    </xf>
    <xf numFmtId="2" fontId="10" fillId="2" borderId="0" xfId="0" applyNumberFormat="1" applyFont="1" applyFill="1"/>
    <xf numFmtId="2" fontId="9" fillId="2" borderId="0" xfId="0" applyNumberFormat="1" applyFont="1" applyFill="1" applyProtection="1">
      <protection locked="0"/>
    </xf>
    <xf numFmtId="164" fontId="9" fillId="2" borderId="0" xfId="0" applyNumberFormat="1" applyFont="1" applyFill="1" applyAlignment="1" applyProtection="1">
      <alignment horizontal="center"/>
      <protection locked="0"/>
    </xf>
    <xf numFmtId="2" fontId="3" fillId="0" borderId="0" xfId="0" applyNumberFormat="1" applyFont="1"/>
    <xf numFmtId="2" fontId="3" fillId="0" borderId="0" xfId="0" applyNumberFormat="1" applyFont="1" applyAlignment="1">
      <alignment horizontal="right"/>
    </xf>
    <xf numFmtId="164" fontId="3" fillId="0" borderId="0" xfId="0" applyNumberFormat="1" applyFont="1" applyAlignment="1">
      <alignment horizontal="right"/>
    </xf>
    <xf numFmtId="2" fontId="3" fillId="0" borderId="0" xfId="0" applyNumberFormat="1" applyFont="1" applyAlignment="1">
      <alignment horizontal="center"/>
    </xf>
    <xf numFmtId="1" fontId="3" fillId="0" borderId="0" xfId="0" applyNumberFormat="1" applyFont="1"/>
    <xf numFmtId="2" fontId="7" fillId="0" borderId="0" xfId="0" applyNumberFormat="1" applyFont="1" applyAlignment="1">
      <alignment horizontal="right"/>
    </xf>
    <xf numFmtId="164" fontId="7" fillId="0" borderId="0" xfId="0" applyNumberFormat="1" applyFont="1" applyAlignment="1">
      <alignment horizontal="right"/>
    </xf>
    <xf numFmtId="2" fontId="4" fillId="0" borderId="0" xfId="0" applyNumberFormat="1" applyFont="1" applyAlignment="1">
      <alignment horizontal="fill"/>
    </xf>
    <xf numFmtId="2" fontId="9" fillId="0" borderId="0" xfId="0" applyNumberFormat="1" applyFont="1" applyProtection="1">
      <protection locked="0"/>
    </xf>
    <xf numFmtId="164" fontId="4" fillId="0" borderId="0" xfId="0" applyNumberFormat="1" applyFont="1" applyAlignment="1">
      <alignment horizontal="right"/>
    </xf>
    <xf numFmtId="2" fontId="3" fillId="0" borderId="0" xfId="0" applyNumberFormat="1" applyFont="1" applyAlignment="1">
      <alignment horizontal="fill"/>
    </xf>
    <xf numFmtId="2" fontId="7" fillId="0" borderId="0" xfId="0" applyNumberFormat="1" applyFont="1"/>
    <xf numFmtId="164" fontId="3" fillId="0" borderId="0" xfId="0" applyNumberFormat="1" applyFont="1"/>
    <xf numFmtId="166" fontId="7" fillId="0" borderId="0" xfId="0" applyNumberFormat="1" applyFont="1" applyAlignment="1" applyProtection="1">
      <alignment horizontal="right"/>
      <protection locked="0"/>
    </xf>
    <xf numFmtId="164" fontId="7" fillId="0" borderId="0" xfId="0" applyNumberFormat="1" applyFont="1" applyAlignment="1" applyProtection="1">
      <alignment horizontal="right"/>
      <protection locked="0"/>
    </xf>
    <xf numFmtId="164" fontId="4" fillId="0" borderId="1" xfId="0" applyNumberFormat="1" applyFont="1" applyBorder="1" applyAlignment="1">
      <alignment horizontal="right"/>
    </xf>
    <xf numFmtId="2" fontId="3" fillId="0" borderId="2" xfId="0" applyNumberFormat="1" applyFont="1" applyBorder="1" applyProtection="1">
      <protection locked="0"/>
    </xf>
    <xf numFmtId="2" fontId="3" fillId="0" borderId="3" xfId="0" applyNumberFormat="1" applyFont="1" applyBorder="1" applyProtection="1">
      <protection locked="0"/>
    </xf>
    <xf numFmtId="164" fontId="3" fillId="0" borderId="3" xfId="0" applyNumberFormat="1" applyFont="1" applyBorder="1" applyAlignment="1" applyProtection="1">
      <alignment horizontal="center"/>
      <protection locked="0"/>
    </xf>
    <xf numFmtId="2" fontId="3" fillId="0" borderId="4" xfId="0" applyNumberFormat="1" applyFont="1" applyBorder="1" applyProtection="1">
      <protection locked="0"/>
    </xf>
    <xf numFmtId="2" fontId="5" fillId="0" borderId="5" xfId="0" applyNumberFormat="1" applyFont="1" applyBorder="1"/>
    <xf numFmtId="164" fontId="6" fillId="0" borderId="0" xfId="0" applyNumberFormat="1" applyFont="1" applyAlignment="1">
      <alignment horizontal="center"/>
    </xf>
    <xf numFmtId="2" fontId="3" fillId="0" borderId="6" xfId="0" applyNumberFormat="1" applyFont="1" applyBorder="1" applyProtection="1">
      <protection locked="0"/>
    </xf>
    <xf numFmtId="2" fontId="3" fillId="0" borderId="5" xfId="0" applyNumberFormat="1" applyFont="1" applyBorder="1"/>
    <xf numFmtId="1" fontId="3" fillId="0" borderId="0" xfId="0" applyNumberFormat="1" applyFont="1" applyAlignment="1">
      <alignment horizontal="center"/>
    </xf>
    <xf numFmtId="164" fontId="3" fillId="0" borderId="0" xfId="0" applyNumberFormat="1" applyFont="1" applyAlignment="1">
      <alignment horizontal="left"/>
    </xf>
    <xf numFmtId="164" fontId="3" fillId="0" borderId="6" xfId="0" applyNumberFormat="1" applyFont="1" applyBorder="1" applyAlignment="1">
      <alignment horizontal="center"/>
    </xf>
    <xf numFmtId="2" fontId="3" fillId="0" borderId="7" xfId="0" applyNumberFormat="1" applyFont="1" applyBorder="1" applyProtection="1">
      <protection locked="0"/>
    </xf>
    <xf numFmtId="2" fontId="3" fillId="0" borderId="8" xfId="0" applyNumberFormat="1" applyFont="1" applyBorder="1" applyProtection="1">
      <protection locked="0"/>
    </xf>
    <xf numFmtId="164" fontId="3" fillId="0" borderId="8" xfId="0" applyNumberFormat="1" applyFont="1" applyBorder="1" applyAlignment="1" applyProtection="1">
      <alignment horizontal="center"/>
      <protection locked="0"/>
    </xf>
    <xf numFmtId="164" fontId="3" fillId="0" borderId="9" xfId="0" applyNumberFormat="1" applyFont="1" applyBorder="1"/>
    <xf numFmtId="164" fontId="15" fillId="0" borderId="0" xfId="0" applyNumberFormat="1" applyFont="1" applyAlignment="1">
      <alignment horizontal="right"/>
    </xf>
    <xf numFmtId="164" fontId="15" fillId="0" borderId="0" xfId="0" applyNumberFormat="1" applyFont="1" applyAlignment="1" applyProtection="1">
      <alignment horizontal="right"/>
      <protection locked="0"/>
    </xf>
    <xf numFmtId="165" fontId="15" fillId="0" borderId="0" xfId="0" applyNumberFormat="1" applyFont="1" applyAlignment="1">
      <alignment horizontal="right"/>
    </xf>
    <xf numFmtId="2" fontId="3" fillId="0" borderId="8" xfId="0" applyNumberFormat="1" applyFont="1" applyBorder="1"/>
    <xf numFmtId="164" fontId="8" fillId="0" borderId="0" xfId="0" applyNumberFormat="1" applyFont="1" applyAlignment="1">
      <alignment horizontal="right"/>
    </xf>
    <xf numFmtId="2" fontId="15" fillId="0" borderId="0" xfId="0" applyNumberFormat="1" applyFont="1" applyAlignment="1">
      <alignment horizontal="right"/>
    </xf>
    <xf numFmtId="2" fontId="13" fillId="2" borderId="0" xfId="0" applyNumberFormat="1" applyFont="1" applyFill="1"/>
    <xf numFmtId="2" fontId="3" fillId="0" borderId="10" xfId="0" applyNumberFormat="1" applyFont="1" applyBorder="1"/>
    <xf numFmtId="2" fontId="14" fillId="2" borderId="0" xfId="0" applyNumberFormat="1" applyFont="1" applyFill="1" applyProtection="1">
      <protection locked="0"/>
    </xf>
    <xf numFmtId="2" fontId="3" fillId="0" borderId="10" xfId="0" applyNumberFormat="1" applyFont="1" applyBorder="1" applyProtection="1">
      <protection locked="0"/>
    </xf>
    <xf numFmtId="1" fontId="3" fillId="0" borderId="10" xfId="0" applyNumberFormat="1" applyFont="1" applyBorder="1"/>
    <xf numFmtId="164" fontId="14" fillId="2" borderId="0" xfId="0" applyNumberFormat="1" applyFont="1" applyFill="1" applyAlignment="1" applyProtection="1">
      <alignment horizontal="center"/>
      <protection locked="0"/>
    </xf>
    <xf numFmtId="164" fontId="4" fillId="0" borderId="11" xfId="0" applyNumberFormat="1" applyFont="1" applyBorder="1" applyAlignment="1">
      <alignment horizontal="right"/>
    </xf>
    <xf numFmtId="2" fontId="14" fillId="0" borderId="0" xfId="0" applyNumberFormat="1" applyFont="1" applyProtection="1">
      <protection locked="0"/>
    </xf>
    <xf numFmtId="0" fontId="0" fillId="0" borderId="0" xfId="0" applyAlignment="1">
      <alignment vertical="top" wrapText="1"/>
    </xf>
    <xf numFmtId="0" fontId="11" fillId="0" borderId="0" xfId="4" applyAlignment="1" applyProtection="1"/>
    <xf numFmtId="7" fontId="4" fillId="0" borderId="0" xfId="1" applyNumberFormat="1" applyFont="1" applyFill="1" applyBorder="1" applyAlignment="1" applyProtection="1">
      <alignment horizontal="fill"/>
    </xf>
    <xf numFmtId="2" fontId="3" fillId="0" borderId="10" xfId="0" applyNumberFormat="1" applyFont="1" applyBorder="1" applyAlignment="1">
      <alignment horizontal="right"/>
    </xf>
    <xf numFmtId="164" fontId="3" fillId="0" borderId="10" xfId="0" applyNumberFormat="1" applyFont="1" applyBorder="1" applyAlignment="1">
      <alignment horizontal="right" wrapText="1"/>
    </xf>
    <xf numFmtId="0" fontId="18" fillId="0" borderId="0" xfId="0" applyFont="1"/>
    <xf numFmtId="164" fontId="4" fillId="0" borderId="12" xfId="0" applyNumberFormat="1" applyFont="1" applyBorder="1" applyAlignment="1">
      <alignment horizontal="right"/>
    </xf>
    <xf numFmtId="2" fontId="4" fillId="0" borderId="0" xfId="0" applyNumberFormat="1" applyFont="1"/>
    <xf numFmtId="2" fontId="4" fillId="0" borderId="0" xfId="0" applyNumberFormat="1" applyFont="1" applyAlignment="1">
      <alignment horizontal="right"/>
    </xf>
    <xf numFmtId="2" fontId="4" fillId="0" borderId="0" xfId="0" applyNumberFormat="1" applyFont="1" applyAlignment="1">
      <alignment horizontal="center"/>
    </xf>
    <xf numFmtId="2" fontId="4" fillId="0" borderId="0" xfId="0" applyNumberFormat="1" applyFont="1" applyProtection="1">
      <protection locked="0"/>
    </xf>
    <xf numFmtId="2" fontId="5" fillId="0" borderId="0" xfId="0" applyNumberFormat="1" applyFont="1"/>
    <xf numFmtId="164" fontId="3" fillId="0" borderId="0" xfId="0" applyNumberFormat="1" applyFont="1" applyAlignment="1">
      <alignment horizontal="center"/>
    </xf>
    <xf numFmtId="0" fontId="15" fillId="0" borderId="0" xfId="0" applyFont="1" applyAlignment="1">
      <alignment horizontal="right"/>
    </xf>
    <xf numFmtId="164" fontId="0" fillId="0" borderId="0" xfId="0" applyNumberFormat="1"/>
    <xf numFmtId="0" fontId="3" fillId="0" borderId="0" xfId="0" applyFont="1" applyAlignment="1">
      <alignment horizontal="right"/>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
    </xf>
    <xf numFmtId="0" fontId="17" fillId="0" borderId="0" xfId="0" applyFont="1"/>
    <xf numFmtId="2" fontId="3" fillId="0" borderId="12" xfId="0" applyNumberFormat="1" applyFont="1" applyBorder="1" applyProtection="1">
      <protection locked="0"/>
    </xf>
    <xf numFmtId="2" fontId="3" fillId="0" borderId="12" xfId="0" applyNumberFormat="1" applyFont="1" applyBorder="1"/>
    <xf numFmtId="164" fontId="3" fillId="0" borderId="12" xfId="0" applyNumberFormat="1" applyFont="1" applyBorder="1" applyAlignment="1" applyProtection="1">
      <alignment horizontal="center"/>
      <protection locked="0"/>
    </xf>
    <xf numFmtId="0" fontId="19" fillId="0" borderId="10" xfId="0" applyFont="1" applyBorder="1" applyAlignment="1">
      <alignment wrapText="1"/>
    </xf>
    <xf numFmtId="0" fontId="19" fillId="0" borderId="18" xfId="0" applyFont="1" applyBorder="1" applyAlignment="1">
      <alignment wrapText="1"/>
    </xf>
    <xf numFmtId="0" fontId="19" fillId="0" borderId="0" xfId="0" applyFont="1" applyAlignment="1">
      <alignment horizontal="center"/>
    </xf>
    <xf numFmtId="8" fontId="19" fillId="0" borderId="23" xfId="0" applyNumberFormat="1" applyFont="1" applyBorder="1" applyAlignment="1">
      <alignment horizontal="center"/>
    </xf>
    <xf numFmtId="8" fontId="19" fillId="0" borderId="14" xfId="0" applyNumberFormat="1" applyFont="1" applyBorder="1" applyAlignment="1">
      <alignment horizontal="center"/>
    </xf>
    <xf numFmtId="8" fontId="19" fillId="0" borderId="15" xfId="0" applyNumberFormat="1" applyFont="1" applyBorder="1" applyAlignment="1">
      <alignment horizontal="center"/>
    </xf>
    <xf numFmtId="8" fontId="19" fillId="0" borderId="24" xfId="0" applyNumberFormat="1" applyFont="1" applyBorder="1" applyAlignment="1">
      <alignment horizontal="center"/>
    </xf>
    <xf numFmtId="8" fontId="19" fillId="0" borderId="0" xfId="0" applyNumberFormat="1" applyFont="1" applyAlignment="1">
      <alignment horizontal="center"/>
    </xf>
    <xf numFmtId="8" fontId="19" fillId="0" borderId="17" xfId="0" applyNumberFormat="1" applyFont="1" applyBorder="1" applyAlignment="1">
      <alignment horizontal="center"/>
    </xf>
    <xf numFmtId="8" fontId="19" fillId="0" borderId="25" xfId="0" applyNumberFormat="1" applyFont="1" applyBorder="1" applyAlignment="1">
      <alignment horizontal="center"/>
    </xf>
    <xf numFmtId="8" fontId="19" fillId="0" borderId="10" xfId="0" applyNumberFormat="1" applyFont="1" applyBorder="1" applyAlignment="1">
      <alignment horizontal="center"/>
    </xf>
    <xf numFmtId="8" fontId="19" fillId="0" borderId="18" xfId="0" applyNumberFormat="1" applyFont="1" applyBorder="1" applyAlignment="1">
      <alignment horizontal="center"/>
    </xf>
    <xf numFmtId="0" fontId="19" fillId="0" borderId="0" xfId="0" applyFont="1"/>
    <xf numFmtId="1" fontId="19" fillId="0" borderId="0" xfId="0" applyNumberFormat="1" applyFont="1" applyAlignment="1">
      <alignment horizontal="center"/>
    </xf>
    <xf numFmtId="0" fontId="20" fillId="0" borderId="17" xfId="0" applyFont="1" applyBorder="1" applyAlignment="1">
      <alignment horizontal="center" wrapText="1"/>
    </xf>
    <xf numFmtId="0" fontId="16" fillId="0" borderId="0" xfId="0" applyFont="1" applyAlignment="1">
      <alignment horizontal="center" vertical="center"/>
    </xf>
    <xf numFmtId="0" fontId="0" fillId="0" borderId="0" xfId="0" applyAlignment="1">
      <alignment wrapText="1"/>
    </xf>
    <xf numFmtId="0" fontId="11" fillId="0" borderId="0" xfId="4" applyAlignment="1" applyProtection="1">
      <alignment wrapText="1"/>
    </xf>
    <xf numFmtId="2" fontId="4" fillId="0" borderId="11" xfId="0" applyNumberFormat="1" applyFont="1" applyBorder="1" applyAlignment="1">
      <alignment horizontal="left"/>
    </xf>
    <xf numFmtId="2" fontId="4" fillId="0" borderId="0" xfId="0" applyNumberFormat="1" applyFont="1" applyAlignment="1">
      <alignment horizontal="left" vertical="top"/>
    </xf>
    <xf numFmtId="2" fontId="4" fillId="0" borderId="12" xfId="0" applyNumberFormat="1" applyFont="1" applyBorder="1" applyAlignment="1">
      <alignment horizontal="left"/>
    </xf>
    <xf numFmtId="2" fontId="4" fillId="0" borderId="0" xfId="0" applyNumberFormat="1" applyFont="1" applyAlignment="1">
      <alignment horizontal="left"/>
    </xf>
    <xf numFmtId="2" fontId="4" fillId="0" borderId="0" xfId="0" applyNumberFormat="1" applyFont="1" applyAlignment="1">
      <alignment horizontal="center" vertical="top" wrapText="1"/>
    </xf>
    <xf numFmtId="2" fontId="4" fillId="0" borderId="12" xfId="0" applyNumberFormat="1" applyFont="1" applyBorder="1" applyAlignment="1">
      <alignment horizontal="center" vertical="top" wrapText="1"/>
    </xf>
    <xf numFmtId="2" fontId="4" fillId="0" borderId="0" xfId="0" applyNumberFormat="1" applyFont="1" applyAlignment="1">
      <alignment horizontal="left" vertical="top"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19" fillId="0" borderId="0" xfId="0" applyFont="1" applyAlignment="1">
      <alignment horizontal="center" wrapText="1"/>
    </xf>
    <xf numFmtId="0" fontId="19" fillId="0" borderId="19" xfId="0" applyFont="1" applyBorder="1" applyAlignment="1">
      <alignment horizontal="center"/>
    </xf>
    <xf numFmtId="0" fontId="19" fillId="0" borderId="20" xfId="0" applyFont="1" applyBorder="1" applyAlignment="1">
      <alignment horizontal="center"/>
    </xf>
    <xf numFmtId="0" fontId="19" fillId="0" borderId="0" xfId="0" applyFont="1" applyAlignment="1">
      <alignment horizontal="center"/>
    </xf>
    <xf numFmtId="0" fontId="22" fillId="0" borderId="0" xfId="0" applyFont="1"/>
    <xf numFmtId="0" fontId="23" fillId="0" borderId="0" xfId="0" applyFont="1"/>
    <xf numFmtId="0" fontId="25" fillId="0" borderId="13" xfId="0" applyFont="1" applyBorder="1" applyAlignment="1">
      <alignment horizontal="center" wrapText="1"/>
    </xf>
    <xf numFmtId="0" fontId="25" fillId="0" borderId="16" xfId="0" applyFont="1" applyBorder="1" applyAlignment="1">
      <alignment horizontal="center" wrapText="1"/>
    </xf>
    <xf numFmtId="8" fontId="26" fillId="0" borderId="10" xfId="0" applyNumberFormat="1" applyFont="1" applyBorder="1" applyAlignment="1">
      <alignment wrapText="1"/>
    </xf>
    <xf numFmtId="0" fontId="19" fillId="0" borderId="17" xfId="0" applyFont="1" applyBorder="1" applyAlignment="1">
      <alignment wrapText="1"/>
    </xf>
    <xf numFmtId="0" fontId="25" fillId="0" borderId="19" xfId="0" applyFont="1" applyBorder="1" applyAlignment="1">
      <alignment horizontal="center"/>
    </xf>
    <xf numFmtId="0" fontId="19" fillId="0" borderId="17" xfId="0" applyFont="1" applyBorder="1" applyAlignment="1">
      <alignment horizontal="center"/>
    </xf>
    <xf numFmtId="0" fontId="25" fillId="0" borderId="21" xfId="0" applyFont="1" applyBorder="1" applyAlignment="1">
      <alignment horizontal="center"/>
    </xf>
    <xf numFmtId="0" fontId="27" fillId="0" borderId="19" xfId="0" applyFont="1" applyBorder="1" applyAlignment="1">
      <alignment horizontal="center"/>
    </xf>
    <xf numFmtId="0" fontId="26" fillId="0" borderId="19" xfId="0" applyFont="1" applyBorder="1" applyAlignment="1">
      <alignment horizontal="center"/>
    </xf>
    <xf numFmtId="0" fontId="27" fillId="0" borderId="20" xfId="0" applyFont="1" applyBorder="1" applyAlignment="1">
      <alignment horizontal="center"/>
    </xf>
    <xf numFmtId="0" fontId="27" fillId="0" borderId="17" xfId="0" applyFont="1" applyBorder="1" applyAlignment="1">
      <alignment horizontal="center"/>
    </xf>
    <xf numFmtId="0" fontId="27" fillId="0" borderId="21" xfId="0" applyFont="1" applyBorder="1" applyAlignment="1">
      <alignment horizontal="center"/>
    </xf>
    <xf numFmtId="0" fontId="25" fillId="0" borderId="22" xfId="0" applyFont="1" applyBorder="1" applyAlignment="1">
      <alignment horizontal="center" wrapText="1"/>
    </xf>
    <xf numFmtId="0" fontId="27" fillId="0" borderId="13" xfId="0" applyFont="1" applyBorder="1" applyAlignment="1">
      <alignment horizontal="center"/>
    </xf>
    <xf numFmtId="0" fontId="27" fillId="0" borderId="16" xfId="0" applyFont="1" applyBorder="1" applyAlignment="1">
      <alignment horizontal="center"/>
    </xf>
    <xf numFmtId="0" fontId="26" fillId="0" borderId="16" xfId="0" applyFont="1" applyBorder="1" applyAlignment="1">
      <alignment horizontal="center"/>
    </xf>
    <xf numFmtId="0" fontId="27" fillId="0" borderId="22" xfId="0" applyFont="1" applyBorder="1" applyAlignment="1">
      <alignment horizontal="center"/>
    </xf>
    <xf numFmtId="0" fontId="25" fillId="0" borderId="0" xfId="0" applyFont="1" applyAlignment="1">
      <alignment horizontal="center"/>
    </xf>
    <xf numFmtId="0" fontId="20" fillId="0" borderId="24" xfId="0" applyFont="1" applyBorder="1" applyAlignment="1">
      <alignment horizontal="center" wrapText="1"/>
    </xf>
    <xf numFmtId="6" fontId="26" fillId="0" borderId="10" xfId="0" applyNumberFormat="1" applyFont="1" applyBorder="1" applyAlignment="1">
      <alignment wrapText="1"/>
    </xf>
    <xf numFmtId="0" fontId="26" fillId="0" borderId="10" xfId="0" applyFont="1" applyBorder="1" applyAlignment="1">
      <alignment wrapText="1"/>
    </xf>
    <xf numFmtId="0" fontId="19" fillId="0" borderId="24" xfId="0" applyFont="1" applyBorder="1" applyAlignment="1">
      <alignment wrapText="1"/>
    </xf>
    <xf numFmtId="0" fontId="19" fillId="0" borderId="24" xfId="0" applyFont="1" applyBorder="1" applyAlignment="1">
      <alignment horizontal="center"/>
    </xf>
    <xf numFmtId="0" fontId="21" fillId="0" borderId="24" xfId="0" applyFont="1" applyBorder="1" applyAlignment="1">
      <alignment horizontal="center"/>
    </xf>
    <xf numFmtId="2" fontId="27" fillId="0" borderId="13" xfId="0" applyNumberFormat="1" applyFont="1" applyBorder="1" applyAlignment="1">
      <alignment horizontal="center"/>
    </xf>
    <xf numFmtId="2" fontId="27" fillId="0" borderId="16" xfId="0" applyNumberFormat="1" applyFont="1" applyBorder="1" applyAlignment="1">
      <alignment horizontal="center"/>
    </xf>
    <xf numFmtId="2" fontId="26" fillId="0" borderId="16" xfId="0" applyNumberFormat="1" applyFont="1" applyBorder="1" applyAlignment="1">
      <alignment horizontal="center"/>
    </xf>
    <xf numFmtId="2" fontId="27" fillId="0" borderId="22" xfId="0" applyNumberFormat="1" applyFont="1" applyBorder="1" applyAlignment="1">
      <alignment horizontal="center"/>
    </xf>
  </cellXfs>
  <cellStyles count="6">
    <cellStyle name="Currency" xfId="1" builtinId="4"/>
    <cellStyle name="Currency 2" xfId="3" xr:uid="{FEBEDB0F-1306-40EF-BC58-A98911ED70B7}"/>
    <cellStyle name="Hyperlink" xfId="4" builtinId="8"/>
    <cellStyle name="Normal" xfId="0" builtinId="0"/>
    <cellStyle name="Normal 2" xfId="2" xr:uid="{87C527AA-E11F-442A-9C98-35EE89D39767}"/>
    <cellStyle name="Normal 3" xfId="5" xr:uid="{A4FF6AE6-9678-4D4B-9C98-E63000ED575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ferrin\Downloads\Cotton-Strip%20Till-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ton-No-Till"/>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0.44</v>
          </cell>
          <cell r="F11">
            <v>0.39</v>
          </cell>
          <cell r="G11">
            <v>0.41500000000000004</v>
          </cell>
          <cell r="H11">
            <v>0.42</v>
          </cell>
        </row>
        <row r="12">
          <cell r="A12">
            <v>5</v>
          </cell>
          <cell r="B12" t="str">
            <v>TOBACCO</v>
          </cell>
          <cell r="C12" t="str">
            <v>THOU.</v>
          </cell>
          <cell r="D12" t="str">
            <v>THOU.</v>
          </cell>
          <cell r="E12">
            <v>40</v>
          </cell>
          <cell r="F12">
            <v>50</v>
          </cell>
          <cell r="G12">
            <v>45</v>
          </cell>
          <cell r="H12">
            <v>45</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2.8</v>
          </cell>
          <cell r="G14">
            <v>2.9</v>
          </cell>
          <cell r="H14">
            <v>2.9</v>
          </cell>
        </row>
        <row r="15">
          <cell r="A15">
            <v>7</v>
          </cell>
          <cell r="B15" t="str">
            <v>COTTON</v>
          </cell>
          <cell r="C15" t="str">
            <v>THOU.</v>
          </cell>
          <cell r="D15" t="str">
            <v>THOU.</v>
          </cell>
          <cell r="E15">
            <v>2.11</v>
          </cell>
          <cell r="F15">
            <v>2.7</v>
          </cell>
          <cell r="G15">
            <v>2.4050000000000002</v>
          </cell>
          <cell r="H15">
            <v>2.41</v>
          </cell>
        </row>
        <row r="16">
          <cell r="A16">
            <v>7.1</v>
          </cell>
          <cell r="B16" t="str">
            <v>COTTON-RR</v>
          </cell>
          <cell r="C16" t="str">
            <v>THOU.</v>
          </cell>
          <cell r="D16" t="str">
            <v>THOU.</v>
          </cell>
          <cell r="E16">
            <v>9.7100000000000009</v>
          </cell>
          <cell r="F16">
            <v>9.7100000000000009</v>
          </cell>
          <cell r="G16">
            <v>9.7100000000000009</v>
          </cell>
          <cell r="H16">
            <v>9.7100000000000009</v>
          </cell>
        </row>
        <row r="17">
          <cell r="A17">
            <v>7.2</v>
          </cell>
          <cell r="B17" t="str">
            <v>COTTON-BT</v>
          </cell>
          <cell r="C17" t="str">
            <v>THOU.</v>
          </cell>
          <cell r="D17" t="str">
            <v>THOU.</v>
          </cell>
          <cell r="E17">
            <v>7.95</v>
          </cell>
          <cell r="F17">
            <v>7.89</v>
          </cell>
          <cell r="G17">
            <v>7.92</v>
          </cell>
          <cell r="H17">
            <v>7.92</v>
          </cell>
        </row>
        <row r="18">
          <cell r="A18">
            <v>7.3</v>
          </cell>
          <cell r="B18" t="str">
            <v>COTTON-B2RF OR WRF</v>
          </cell>
          <cell r="C18" t="str">
            <v>THOU.</v>
          </cell>
          <cell r="D18" t="str">
            <v>THOU.</v>
          </cell>
          <cell r="E18">
            <v>11</v>
          </cell>
          <cell r="F18">
            <v>12</v>
          </cell>
          <cell r="G18">
            <v>11.5</v>
          </cell>
          <cell r="H18">
            <v>11.5</v>
          </cell>
        </row>
        <row r="19">
          <cell r="A19">
            <v>8</v>
          </cell>
          <cell r="B19" t="str">
            <v>PEANUTS</v>
          </cell>
          <cell r="C19" t="str">
            <v>LBS</v>
          </cell>
          <cell r="D19" t="str">
            <v>LBS</v>
          </cell>
          <cell r="E19">
            <v>1.1000000000000001</v>
          </cell>
          <cell r="F19">
            <v>0.75</v>
          </cell>
          <cell r="G19">
            <v>0.92500000000000004</v>
          </cell>
          <cell r="H19">
            <v>0.93</v>
          </cell>
        </row>
        <row r="20">
          <cell r="A20">
            <v>9</v>
          </cell>
          <cell r="B20" t="str">
            <v>PEANUTS RUNNER</v>
          </cell>
          <cell r="C20" t="str">
            <v>LBS</v>
          </cell>
          <cell r="D20" t="str">
            <v>LBS</v>
          </cell>
          <cell r="E20">
            <v>1</v>
          </cell>
          <cell r="F20">
            <v>0.75</v>
          </cell>
          <cell r="G20">
            <v>0.875</v>
          </cell>
          <cell r="H20">
            <v>0.88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 xml:space="preserve">   9-45-15 TRANSPLANT STARTER</v>
          </cell>
          <cell r="C47" t="str">
            <v>LBS</v>
          </cell>
          <cell r="D47" t="str">
            <v>LBS</v>
          </cell>
          <cell r="E47">
            <v>2</v>
          </cell>
          <cell r="F47">
            <v>2.25</v>
          </cell>
          <cell r="G47">
            <v>2.125</v>
          </cell>
          <cell r="H47">
            <v>2.13</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CWT</v>
          </cell>
          <cell r="E49">
            <v>410</v>
          </cell>
          <cell r="F49">
            <v>815</v>
          </cell>
          <cell r="G49">
            <v>612.5</v>
          </cell>
          <cell r="H49">
            <v>30.63</v>
          </cell>
        </row>
        <row r="50">
          <cell r="A50">
            <v>32.1</v>
          </cell>
          <cell r="B50" t="str">
            <v>10-10-10 (VEGETABLES)</v>
          </cell>
          <cell r="C50" t="str">
            <v>TON</v>
          </cell>
          <cell r="D50" t="str">
            <v>CWT</v>
          </cell>
          <cell r="E50">
            <v>500</v>
          </cell>
          <cell r="F50">
            <v>475</v>
          </cell>
          <cell r="G50">
            <v>487.5</v>
          </cell>
          <cell r="H50">
            <v>24.38</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CWT</v>
          </cell>
          <cell r="E54">
            <v>300</v>
          </cell>
          <cell r="F54">
            <v>300</v>
          </cell>
          <cell r="G54">
            <v>300</v>
          </cell>
          <cell r="H54">
            <v>15</v>
          </cell>
        </row>
        <row r="55">
          <cell r="A55">
            <v>33.1</v>
          </cell>
          <cell r="B55" t="str">
            <v>15-0-14</v>
          </cell>
          <cell r="C55" t="str">
            <v>TON</v>
          </cell>
          <cell r="D55" t="str">
            <v>CWT</v>
          </cell>
          <cell r="E55">
            <v>500</v>
          </cell>
          <cell r="F55">
            <v>500</v>
          </cell>
          <cell r="G55">
            <v>500</v>
          </cell>
          <cell r="H55">
            <v>25</v>
          </cell>
        </row>
        <row r="56">
          <cell r="A56">
            <v>33.200000000000003</v>
          </cell>
          <cell r="B56" t="str">
            <v>4-12-12</v>
          </cell>
          <cell r="C56" t="str">
            <v>TON</v>
          </cell>
          <cell r="D56" t="str">
            <v>CWT</v>
          </cell>
          <cell r="E56">
            <v>400</v>
          </cell>
          <cell r="F56">
            <v>400</v>
          </cell>
          <cell r="G56">
            <v>400</v>
          </cell>
          <cell r="H56">
            <v>20</v>
          </cell>
        </row>
        <row r="57">
          <cell r="A57">
            <v>33.299999999999997</v>
          </cell>
          <cell r="B57" t="str">
            <v>3-9-18</v>
          </cell>
          <cell r="C57" t="str">
            <v>TON</v>
          </cell>
          <cell r="D57" t="str">
            <v>CWT</v>
          </cell>
          <cell r="E57">
            <v>400</v>
          </cell>
          <cell r="F57">
            <v>400</v>
          </cell>
          <cell r="G57">
            <v>400</v>
          </cell>
          <cell r="H57">
            <v>20</v>
          </cell>
        </row>
        <row r="58">
          <cell r="A58">
            <v>33.4</v>
          </cell>
          <cell r="B58" t="str">
            <v>10-8-20</v>
          </cell>
          <cell r="C58" t="str">
            <v>TON</v>
          </cell>
          <cell r="D58" t="str">
            <v>CWT</v>
          </cell>
          <cell r="E58">
            <v>550</v>
          </cell>
          <cell r="F58">
            <v>570</v>
          </cell>
          <cell r="G58">
            <v>560</v>
          </cell>
          <cell r="H58">
            <v>28</v>
          </cell>
        </row>
        <row r="59">
          <cell r="A59">
            <v>33.5</v>
          </cell>
          <cell r="B59" t="str">
            <v>7-0-7 (LIQ.) - SIDE DRESSING</v>
          </cell>
          <cell r="C59" t="str">
            <v>TON</v>
          </cell>
          <cell r="D59" t="str">
            <v>GAL</v>
          </cell>
          <cell r="E59">
            <v>500</v>
          </cell>
          <cell r="F59">
            <v>450</v>
          </cell>
          <cell r="G59">
            <v>475</v>
          </cell>
          <cell r="H59">
            <v>1.9</v>
          </cell>
        </row>
        <row r="60">
          <cell r="A60">
            <v>33.6</v>
          </cell>
          <cell r="B60" t="str">
            <v>14-0-14 - SIDE DRESSING</v>
          </cell>
          <cell r="C60" t="str">
            <v>TON</v>
          </cell>
          <cell r="D60" t="str">
            <v>CWT</v>
          </cell>
          <cell r="E60">
            <v>400</v>
          </cell>
          <cell r="F60">
            <v>400</v>
          </cell>
          <cell r="G60">
            <v>400</v>
          </cell>
          <cell r="H60">
            <v>20</v>
          </cell>
        </row>
        <row r="61">
          <cell r="A61">
            <v>33.700000000000003</v>
          </cell>
          <cell r="B61" t="str">
            <v>3-9-24</v>
          </cell>
          <cell r="C61" t="str">
            <v>TON</v>
          </cell>
          <cell r="D61" t="str">
            <v>CWT</v>
          </cell>
          <cell r="E61">
            <v>525</v>
          </cell>
          <cell r="F61">
            <v>475</v>
          </cell>
          <cell r="G61">
            <v>500</v>
          </cell>
          <cell r="H61">
            <v>25</v>
          </cell>
        </row>
        <row r="62">
          <cell r="A62">
            <v>34</v>
          </cell>
          <cell r="B62" t="str">
            <v xml:space="preserve">   30% NITROGEN SOLUTION</v>
          </cell>
          <cell r="C62" t="str">
            <v>TON</v>
          </cell>
          <cell r="D62" t="str">
            <v>LBS</v>
          </cell>
          <cell r="E62">
            <v>580</v>
          </cell>
          <cell r="F62">
            <v>860</v>
          </cell>
          <cell r="G62">
            <v>720</v>
          </cell>
          <cell r="H62">
            <v>0.36</v>
          </cell>
        </row>
        <row r="63">
          <cell r="A63">
            <v>34.1</v>
          </cell>
          <cell r="B63" t="str">
            <v xml:space="preserve">   UREA (46-0-0)</v>
          </cell>
          <cell r="C63" t="str">
            <v>TON</v>
          </cell>
          <cell r="D63" t="str">
            <v>LBS</v>
          </cell>
          <cell r="E63">
            <v>904</v>
          </cell>
          <cell r="F63">
            <v>1000</v>
          </cell>
          <cell r="G63">
            <v>952</v>
          </cell>
          <cell r="H63">
            <v>0.48</v>
          </cell>
        </row>
        <row r="64">
          <cell r="A64">
            <v>34.200000000000003</v>
          </cell>
          <cell r="B64" t="str">
            <v xml:space="preserve">   100% CALCIUM NITRATE</v>
          </cell>
          <cell r="C64" t="str">
            <v>TON</v>
          </cell>
          <cell r="D64" t="str">
            <v>CWT</v>
          </cell>
          <cell r="E64">
            <v>655</v>
          </cell>
          <cell r="F64">
            <v>700</v>
          </cell>
          <cell r="G64">
            <v>677.5</v>
          </cell>
          <cell r="H64">
            <v>33.880000000000003</v>
          </cell>
        </row>
        <row r="65">
          <cell r="A65">
            <v>34.299999999999997</v>
          </cell>
          <cell r="B65" t="str">
            <v xml:space="preserve">   CALCIUM NITRATE 15.5-0-0</v>
          </cell>
          <cell r="C65" t="str">
            <v>TON</v>
          </cell>
          <cell r="D65" t="str">
            <v>LBS</v>
          </cell>
          <cell r="E65">
            <v>655</v>
          </cell>
          <cell r="F65">
            <v>700</v>
          </cell>
          <cell r="G65">
            <v>677.5</v>
          </cell>
          <cell r="H65">
            <v>0.34</v>
          </cell>
        </row>
        <row r="66">
          <cell r="A66">
            <v>35</v>
          </cell>
          <cell r="B66" t="str">
            <v xml:space="preserve">   33.5% AMMONIUM NITRATE</v>
          </cell>
          <cell r="C66" t="str">
            <v>TON</v>
          </cell>
          <cell r="D66" t="str">
            <v>LBS</v>
          </cell>
          <cell r="E66">
            <v>610</v>
          </cell>
          <cell r="F66">
            <v>789</v>
          </cell>
          <cell r="G66">
            <v>699.5</v>
          </cell>
          <cell r="H66">
            <v>1.04</v>
          </cell>
        </row>
        <row r="67">
          <cell r="A67">
            <v>35</v>
          </cell>
          <cell r="B67" t="str">
            <v xml:space="preserve">   AMMONIUM SULFATE</v>
          </cell>
          <cell r="C67" t="str">
            <v>TON</v>
          </cell>
          <cell r="D67" t="str">
            <v>LBS</v>
          </cell>
          <cell r="E67">
            <v>385</v>
          </cell>
          <cell r="F67">
            <v>749</v>
          </cell>
          <cell r="G67">
            <v>567</v>
          </cell>
          <cell r="H67">
            <v>0.85</v>
          </cell>
        </row>
        <row r="68">
          <cell r="A68">
            <v>35.1</v>
          </cell>
          <cell r="B68" t="str">
            <v>33.5% NITROGEN - SIDE DRESSING</v>
          </cell>
          <cell r="C68" t="str">
            <v>TON</v>
          </cell>
          <cell r="D68" t="str">
            <v>CWT</v>
          </cell>
          <cell r="E68">
            <v>625</v>
          </cell>
          <cell r="F68">
            <v>625</v>
          </cell>
          <cell r="G68">
            <v>625</v>
          </cell>
          <cell r="H68">
            <v>93.28</v>
          </cell>
        </row>
        <row r="69">
          <cell r="A69">
            <v>35.200000000000003</v>
          </cell>
          <cell r="B69" t="str">
            <v>30% N (LIQ) - SIDE DRESSING</v>
          </cell>
          <cell r="C69" t="str">
            <v>TON</v>
          </cell>
          <cell r="D69" t="str">
            <v>CWT</v>
          </cell>
          <cell r="E69">
            <v>385</v>
          </cell>
          <cell r="F69">
            <v>385</v>
          </cell>
          <cell r="G69">
            <v>385</v>
          </cell>
          <cell r="H69">
            <v>64.17</v>
          </cell>
        </row>
        <row r="70">
          <cell r="A70">
            <v>35.299999999999997</v>
          </cell>
          <cell r="B70" t="str">
            <v>24.5% N (LIQ) - SIDE DRESSING</v>
          </cell>
          <cell r="C70" t="str">
            <v>TON</v>
          </cell>
          <cell r="D70" t="str">
            <v>CWT</v>
          </cell>
          <cell r="E70">
            <v>375</v>
          </cell>
          <cell r="F70">
            <v>375</v>
          </cell>
          <cell r="G70">
            <v>375</v>
          </cell>
          <cell r="H70">
            <v>76.53</v>
          </cell>
        </row>
        <row r="71">
          <cell r="A71">
            <v>35.4</v>
          </cell>
          <cell r="B71" t="str">
            <v>30% N (LIQ) - SIDE DRESSING (VEG.)</v>
          </cell>
          <cell r="C71" t="str">
            <v>TON</v>
          </cell>
          <cell r="D71" t="str">
            <v>CWT</v>
          </cell>
          <cell r="E71">
            <v>385</v>
          </cell>
          <cell r="F71">
            <v>385</v>
          </cell>
          <cell r="G71">
            <v>385</v>
          </cell>
          <cell r="H71">
            <v>64.17</v>
          </cell>
        </row>
        <row r="72">
          <cell r="A72">
            <v>35.5</v>
          </cell>
          <cell r="B72" t="str">
            <v>33.5% N - SIDE DRESSING (VEG.)</v>
          </cell>
          <cell r="C72" t="str">
            <v>TON</v>
          </cell>
          <cell r="D72" t="str">
            <v>CWT</v>
          </cell>
          <cell r="E72">
            <v>625</v>
          </cell>
          <cell r="F72">
            <v>625</v>
          </cell>
          <cell r="G72">
            <v>625</v>
          </cell>
          <cell r="H72">
            <v>93.28</v>
          </cell>
        </row>
        <row r="73">
          <cell r="A73">
            <v>35.6</v>
          </cell>
          <cell r="B73" t="str">
            <v>34.5% AMMONIUM NITRATE</v>
          </cell>
          <cell r="C73" t="str">
            <v>TON</v>
          </cell>
          <cell r="D73" t="str">
            <v>LBS</v>
          </cell>
          <cell r="E73">
            <v>580</v>
          </cell>
          <cell r="F73">
            <v>590</v>
          </cell>
          <cell r="G73">
            <v>585</v>
          </cell>
          <cell r="H73">
            <v>0.85</v>
          </cell>
        </row>
        <row r="74">
          <cell r="A74">
            <v>36</v>
          </cell>
          <cell r="B74" t="str">
            <v xml:space="preserve">   0-0-60  MURATE OF POTASH</v>
          </cell>
          <cell r="C74" t="str">
            <v>TON</v>
          </cell>
          <cell r="D74" t="str">
            <v>LBS</v>
          </cell>
          <cell r="E74">
            <v>910</v>
          </cell>
          <cell r="F74">
            <v>1140</v>
          </cell>
          <cell r="G74">
            <v>1025</v>
          </cell>
          <cell r="H74">
            <v>0.51</v>
          </cell>
        </row>
        <row r="75">
          <cell r="A75">
            <v>36.1</v>
          </cell>
          <cell r="B75" t="str">
            <v xml:space="preserve">   0-0-50 POTASSIUM SULFATE</v>
          </cell>
          <cell r="C75" t="str">
            <v>TON</v>
          </cell>
          <cell r="D75" t="str">
            <v>CWT</v>
          </cell>
          <cell r="E75">
            <v>910</v>
          </cell>
          <cell r="F75">
            <v>1140</v>
          </cell>
          <cell r="G75">
            <v>1025</v>
          </cell>
          <cell r="H75">
            <v>51.25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 xml:space="preserve">   18-46-0 DAP</v>
          </cell>
          <cell r="C78" t="str">
            <v>TON</v>
          </cell>
          <cell r="D78" t="str">
            <v>LBS</v>
          </cell>
          <cell r="E78">
            <v>912</v>
          </cell>
          <cell r="F78">
            <v>1341</v>
          </cell>
          <cell r="G78">
            <v>1126.5</v>
          </cell>
          <cell r="H78">
            <v>0.56000000000000005</v>
          </cell>
        </row>
        <row r="79">
          <cell r="A79">
            <v>39</v>
          </cell>
          <cell r="B79" t="str">
            <v>LIME BULK</v>
          </cell>
          <cell r="C79" t="str">
            <v>TON</v>
          </cell>
          <cell r="D79" t="str">
            <v>TON</v>
          </cell>
          <cell r="E79">
            <v>214</v>
          </cell>
          <cell r="F79">
            <v>250</v>
          </cell>
          <cell r="G79">
            <v>232</v>
          </cell>
          <cell r="H79">
            <v>232</v>
          </cell>
        </row>
        <row r="80">
          <cell r="A80">
            <v>40</v>
          </cell>
          <cell r="B80" t="str">
            <v>LIME SPREAD</v>
          </cell>
          <cell r="C80" t="str">
            <v>TON</v>
          </cell>
          <cell r="D80" t="str">
            <v>TON</v>
          </cell>
          <cell r="E80">
            <v>44</v>
          </cell>
          <cell r="F80">
            <v>70</v>
          </cell>
          <cell r="G80">
            <v>57</v>
          </cell>
          <cell r="H80">
            <v>57</v>
          </cell>
        </row>
        <row r="81">
          <cell r="A81">
            <v>41</v>
          </cell>
          <cell r="B81" t="str">
            <v>COST TO SPREAD 1 TN ON AN ACRE</v>
          </cell>
          <cell r="C81" t="str">
            <v>ACRE</v>
          </cell>
          <cell r="D81" t="str">
            <v>ACRE</v>
          </cell>
          <cell r="E81">
            <v>15</v>
          </cell>
          <cell r="F81">
            <v>20</v>
          </cell>
          <cell r="G81">
            <v>17.5</v>
          </cell>
          <cell r="H81">
            <v>17.5</v>
          </cell>
        </row>
        <row r="82">
          <cell r="A82">
            <v>42</v>
          </cell>
          <cell r="B82" t="str">
            <v>6-6-18 (TOBACCO)</v>
          </cell>
          <cell r="C82" t="str">
            <v>TON</v>
          </cell>
          <cell r="D82" t="str">
            <v>CWT</v>
          </cell>
          <cell r="E82">
            <v>790</v>
          </cell>
          <cell r="F82">
            <v>750</v>
          </cell>
          <cell r="G82">
            <v>770</v>
          </cell>
          <cell r="H82">
            <v>38.5</v>
          </cell>
        </row>
        <row r="83">
          <cell r="A83">
            <v>43</v>
          </cell>
          <cell r="B83" t="str">
            <v>15-0-14 (TOBACCO)</v>
          </cell>
          <cell r="C83" t="str">
            <v>TON</v>
          </cell>
          <cell r="D83" t="str">
            <v>LBS</v>
          </cell>
          <cell r="E83">
            <v>450</v>
          </cell>
          <cell r="F83">
            <v>450</v>
          </cell>
          <cell r="G83">
            <v>450</v>
          </cell>
          <cell r="H83">
            <v>0.23</v>
          </cell>
        </row>
        <row r="84">
          <cell r="A84">
            <v>44</v>
          </cell>
          <cell r="B84" t="str">
            <v>SOLUBOR</v>
          </cell>
          <cell r="C84" t="str">
            <v>LBS</v>
          </cell>
          <cell r="D84" t="str">
            <v>LBS</v>
          </cell>
          <cell r="E84">
            <v>1.5</v>
          </cell>
          <cell r="F84">
            <v>1.5</v>
          </cell>
          <cell r="G84">
            <v>1.5</v>
          </cell>
          <cell r="H84">
            <v>1.5</v>
          </cell>
        </row>
        <row r="85">
          <cell r="A85">
            <v>44.1</v>
          </cell>
          <cell r="B85" t="str">
            <v>INOCULANT</v>
          </cell>
          <cell r="C85" t="str">
            <v>OZ</v>
          </cell>
          <cell r="D85" t="str">
            <v>OZ</v>
          </cell>
          <cell r="E85">
            <v>1.1000000000000001</v>
          </cell>
          <cell r="F85">
            <v>1.1000000000000001</v>
          </cell>
          <cell r="G85">
            <v>1.1000000000000001</v>
          </cell>
          <cell r="H85">
            <v>1.1000000000000001</v>
          </cell>
        </row>
        <row r="86">
          <cell r="A86">
            <v>44.2</v>
          </cell>
          <cell r="B86" t="str">
            <v>MANGANESE SULFATE</v>
          </cell>
          <cell r="C86" t="str">
            <v>TON</v>
          </cell>
          <cell r="D86" t="str">
            <v>LBS</v>
          </cell>
          <cell r="E86">
            <v>800</v>
          </cell>
          <cell r="F86">
            <v>600</v>
          </cell>
          <cell r="G86">
            <v>700</v>
          </cell>
          <cell r="H86">
            <v>0.35</v>
          </cell>
        </row>
        <row r="88">
          <cell r="A88" t="str">
            <v>FORAGE SEED</v>
          </cell>
        </row>
        <row r="89">
          <cell r="A89">
            <v>45</v>
          </cell>
          <cell r="B89" t="str">
            <v>TALL FESCUE</v>
          </cell>
          <cell r="C89" t="str">
            <v>LBS</v>
          </cell>
          <cell r="D89" t="str">
            <v>LBS</v>
          </cell>
          <cell r="E89">
            <v>1.3</v>
          </cell>
          <cell r="F89">
            <v>1</v>
          </cell>
          <cell r="G89">
            <v>1.1499999999999999</v>
          </cell>
          <cell r="H89">
            <v>1.1499999999999999</v>
          </cell>
        </row>
        <row r="90">
          <cell r="A90">
            <v>46</v>
          </cell>
          <cell r="B90" t="str">
            <v xml:space="preserve">CLOVER </v>
          </cell>
          <cell r="C90" t="str">
            <v>LBS</v>
          </cell>
          <cell r="D90" t="str">
            <v>LBS</v>
          </cell>
          <cell r="E90">
            <v>3.9</v>
          </cell>
          <cell r="F90">
            <v>3.25</v>
          </cell>
          <cell r="G90">
            <v>3.5750000000000002</v>
          </cell>
          <cell r="H90">
            <v>3.58</v>
          </cell>
        </row>
        <row r="91">
          <cell r="A91">
            <v>47</v>
          </cell>
          <cell r="B91" t="str">
            <v>ALFALFA</v>
          </cell>
          <cell r="C91" t="str">
            <v>LBS</v>
          </cell>
          <cell r="D91" t="str">
            <v>LBS</v>
          </cell>
          <cell r="E91">
            <v>3.52</v>
          </cell>
          <cell r="F91">
            <v>3.8</v>
          </cell>
          <cell r="G91">
            <v>3.66</v>
          </cell>
          <cell r="H91">
            <v>3.66</v>
          </cell>
        </row>
        <row r="92">
          <cell r="A92">
            <v>48</v>
          </cell>
          <cell r="B92" t="str">
            <v xml:space="preserve">BAHIAGRASS </v>
          </cell>
          <cell r="C92" t="str">
            <v>LBS</v>
          </cell>
          <cell r="D92" t="str">
            <v>LBS</v>
          </cell>
          <cell r="E92">
            <v>3.5</v>
          </cell>
          <cell r="F92">
            <v>3</v>
          </cell>
          <cell r="G92">
            <v>3.25</v>
          </cell>
          <cell r="H92">
            <v>3.25</v>
          </cell>
        </row>
        <row r="93">
          <cell r="A93">
            <v>49</v>
          </cell>
          <cell r="B93" t="str">
            <v>PEARL MILLET</v>
          </cell>
          <cell r="C93" t="str">
            <v>LBS</v>
          </cell>
          <cell r="D93" t="str">
            <v>LBS</v>
          </cell>
          <cell r="E93">
            <v>1.6</v>
          </cell>
          <cell r="F93">
            <v>1.7</v>
          </cell>
          <cell r="G93">
            <v>1.65</v>
          </cell>
          <cell r="H93">
            <v>1.65</v>
          </cell>
        </row>
        <row r="94">
          <cell r="A94">
            <v>50</v>
          </cell>
          <cell r="B94" t="str">
            <v>RYEGRASS (ANNUAL)</v>
          </cell>
          <cell r="C94" t="str">
            <v>LBS</v>
          </cell>
          <cell r="D94" t="str">
            <v>LBS</v>
          </cell>
          <cell r="E94">
            <v>0.8</v>
          </cell>
          <cell r="F94">
            <v>0.7</v>
          </cell>
          <cell r="G94">
            <v>0.75</v>
          </cell>
          <cell r="H94">
            <v>0.75</v>
          </cell>
        </row>
        <row r="95">
          <cell r="A95">
            <v>51</v>
          </cell>
          <cell r="B95" t="str">
            <v>RYE</v>
          </cell>
          <cell r="C95" t="str">
            <v>BU.</v>
          </cell>
          <cell r="D95" t="str">
            <v>BU.</v>
          </cell>
          <cell r="E95">
            <v>19</v>
          </cell>
          <cell r="F95">
            <v>20</v>
          </cell>
          <cell r="G95">
            <v>19.5</v>
          </cell>
          <cell r="H95">
            <v>19.5</v>
          </cell>
        </row>
        <row r="96">
          <cell r="A96">
            <v>52</v>
          </cell>
          <cell r="B96" t="str">
            <v>SORGHUM SILAGE</v>
          </cell>
          <cell r="C96" t="str">
            <v>LBS</v>
          </cell>
          <cell r="D96" t="str">
            <v>LBS</v>
          </cell>
          <cell r="E96">
            <v>0.9</v>
          </cell>
          <cell r="F96">
            <v>0.85</v>
          </cell>
          <cell r="G96">
            <v>0.875</v>
          </cell>
          <cell r="H96">
            <v>0.88</v>
          </cell>
        </row>
      </sheetData>
      <sheetData sheetId="4">
        <row r="18">
          <cell r="E18">
            <v>7</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ls.ncsu.edu/are-extension/business-planning-and-operations/enterprise-budgets/cotton-budg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B898-B7BE-45CC-9C9A-2DCE84684C2D}">
  <dimension ref="B1:B7"/>
  <sheetViews>
    <sheetView tabSelected="1" workbookViewId="0">
      <selection activeCell="B5" sqref="B5"/>
    </sheetView>
  </sheetViews>
  <sheetFormatPr defaultRowHeight="15"/>
  <cols>
    <col min="2" max="2" width="56.28515625" customWidth="1"/>
  </cols>
  <sheetData>
    <row r="1" spans="2:2" ht="18">
      <c r="B1" s="89" t="s">
        <v>7</v>
      </c>
    </row>
    <row r="2" spans="2:2" ht="90">
      <c r="B2" s="51" t="s">
        <v>6</v>
      </c>
    </row>
    <row r="4" spans="2:2" ht="45">
      <c r="B4" s="90" t="s">
        <v>70</v>
      </c>
    </row>
    <row r="5" spans="2:2" ht="24.75">
      <c r="B5" s="91" t="s">
        <v>71</v>
      </c>
    </row>
    <row r="7" spans="2:2">
      <c r="B7" s="52"/>
    </row>
  </sheetData>
  <hyperlinks>
    <hyperlink ref="B5" r:id="rId1" xr:uid="{C61A0215-03C5-4D57-A7BB-4E38C66B94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DF31-173F-46A1-B715-E803C322BFE4}">
  <sheetPr>
    <pageSetUpPr fitToPage="1"/>
  </sheetPr>
  <dimension ref="A1:H38"/>
  <sheetViews>
    <sheetView zoomScale="90" zoomScaleNormal="90" workbookViewId="0">
      <selection activeCell="D18" sqref="D18:D20"/>
    </sheetView>
  </sheetViews>
  <sheetFormatPr defaultRowHeight="15"/>
  <cols>
    <col min="1" max="1" width="26" bestFit="1" customWidth="1"/>
    <col min="2" max="2" width="39.140625" bestFit="1" customWidth="1"/>
    <col min="3" max="3" width="6.42578125" bestFit="1" customWidth="1"/>
    <col min="4" max="4" width="10" bestFit="1" customWidth="1"/>
    <col min="5" max="5" width="27.85546875" bestFit="1" customWidth="1"/>
    <col min="6" max="6" width="16.28515625" bestFit="1" customWidth="1"/>
    <col min="7" max="7" width="7" bestFit="1" customWidth="1"/>
  </cols>
  <sheetData>
    <row r="1" spans="1:8" ht="45.75">
      <c r="A1" s="3" t="s">
        <v>8</v>
      </c>
      <c r="B1" s="4"/>
      <c r="C1" s="4"/>
      <c r="D1" s="4"/>
      <c r="E1" s="5"/>
      <c r="F1" s="4"/>
      <c r="G1" s="14"/>
    </row>
    <row r="2" spans="1:8" ht="15.75">
      <c r="A2" s="1"/>
      <c r="B2" s="6" t="s">
        <v>67</v>
      </c>
      <c r="C2" s="1"/>
      <c r="D2" s="1"/>
      <c r="E2" s="2"/>
      <c r="F2" s="1"/>
      <c r="G2" s="1"/>
    </row>
    <row r="3" spans="1:8" ht="16.5" thickBot="1">
      <c r="A3" s="71"/>
      <c r="B3" s="72" t="s">
        <v>68</v>
      </c>
      <c r="C3" s="71"/>
      <c r="D3" s="71"/>
      <c r="E3" s="73"/>
      <c r="F3" s="71"/>
      <c r="G3" s="1"/>
    </row>
    <row r="4" spans="1:8" ht="16.5" thickTop="1">
      <c r="A4" s="44" t="s">
        <v>11</v>
      </c>
      <c r="B4" s="46" t="s">
        <v>12</v>
      </c>
      <c r="C4" s="47" t="s">
        <v>13</v>
      </c>
      <c r="D4" s="54" t="s">
        <v>14</v>
      </c>
      <c r="E4" s="55" t="s">
        <v>15</v>
      </c>
      <c r="F4" s="54" t="s">
        <v>16</v>
      </c>
      <c r="G4" s="9"/>
    </row>
    <row r="5" spans="1:8" ht="15.75">
      <c r="A5" s="1"/>
      <c r="B5" s="1"/>
      <c r="C5" s="1"/>
      <c r="D5" s="7"/>
      <c r="E5" s="8"/>
      <c r="F5" s="7"/>
      <c r="G5" s="9"/>
    </row>
    <row r="6" spans="1:8" ht="15.75">
      <c r="A6" s="98" t="s">
        <v>0</v>
      </c>
      <c r="B6" s="6" t="s">
        <v>17</v>
      </c>
      <c r="C6" s="10" t="s">
        <v>46</v>
      </c>
      <c r="D6" s="11">
        <v>900</v>
      </c>
      <c r="E6" s="12">
        <v>0.79</v>
      </c>
      <c r="F6" s="8">
        <f>ROUND((D6*E6),2)</f>
        <v>711</v>
      </c>
      <c r="G6" s="13"/>
    </row>
    <row r="7" spans="1:8" ht="15.75">
      <c r="A7" s="98"/>
      <c r="B7" s="6" t="s">
        <v>18</v>
      </c>
      <c r="C7" s="10" t="s">
        <v>46</v>
      </c>
      <c r="D7" s="42">
        <v>1503</v>
      </c>
      <c r="E7" s="12">
        <v>0.09</v>
      </c>
      <c r="F7" s="8">
        <f>ROUND((D7*E7),2)</f>
        <v>135.27000000000001</v>
      </c>
      <c r="H7" s="56">
        <v>1.67</v>
      </c>
    </row>
    <row r="8" spans="1:8" ht="15.75">
      <c r="A8" s="98"/>
      <c r="B8" s="95" t="s">
        <v>19</v>
      </c>
      <c r="C8" s="95"/>
      <c r="D8" s="95"/>
      <c r="E8" s="95"/>
      <c r="F8" s="15">
        <f>SUM(F6:F7)</f>
        <v>846.27</v>
      </c>
      <c r="G8" s="13"/>
    </row>
    <row r="9" spans="1:8" ht="15.75">
      <c r="A9" s="96" t="s">
        <v>1</v>
      </c>
      <c r="B9" s="6" t="s">
        <v>20</v>
      </c>
      <c r="C9" s="10" t="s">
        <v>21</v>
      </c>
      <c r="D9" s="42">
        <v>42</v>
      </c>
      <c r="E9" s="37">
        <v>2.77</v>
      </c>
      <c r="F9" s="8">
        <f>ROUND((D9*E9),2)</f>
        <v>116.34</v>
      </c>
      <c r="G9" s="9"/>
    </row>
    <row r="10" spans="1:8" ht="15.75">
      <c r="A10" s="96"/>
      <c r="B10" s="6" t="s">
        <v>22</v>
      </c>
      <c r="C10" s="10" t="s">
        <v>46</v>
      </c>
      <c r="D10" s="11">
        <v>180</v>
      </c>
      <c r="E10" s="37">
        <v>0.15</v>
      </c>
      <c r="F10" s="8">
        <f>ROUND((D10*E10),2)</f>
        <v>27</v>
      </c>
      <c r="G10" s="16"/>
    </row>
    <row r="11" spans="1:8" ht="15.75">
      <c r="A11" s="96"/>
      <c r="B11" s="6" t="s">
        <v>23</v>
      </c>
      <c r="C11" s="10" t="s">
        <v>46</v>
      </c>
      <c r="D11" s="11">
        <v>65</v>
      </c>
      <c r="E11" s="37">
        <v>0.36</v>
      </c>
      <c r="F11" s="8">
        <f>ROUND((D11*E11),2)</f>
        <v>23.4</v>
      </c>
      <c r="G11" s="9"/>
    </row>
    <row r="12" spans="1:8" ht="15.75">
      <c r="A12" s="96"/>
      <c r="B12" s="6" t="s">
        <v>24</v>
      </c>
      <c r="C12" s="10" t="s">
        <v>46</v>
      </c>
      <c r="D12" s="11">
        <v>50</v>
      </c>
      <c r="E12" s="37">
        <v>0.46</v>
      </c>
      <c r="F12" s="8">
        <f>ROUND((D12*E12),2)</f>
        <v>23</v>
      </c>
      <c r="G12" s="9"/>
    </row>
    <row r="13" spans="1:8" ht="15.75">
      <c r="A13" s="96"/>
      <c r="B13" s="6" t="s">
        <v>25</v>
      </c>
      <c r="C13" s="10" t="s">
        <v>46</v>
      </c>
      <c r="D13" s="11">
        <v>3</v>
      </c>
      <c r="E13" s="37">
        <v>2</v>
      </c>
      <c r="F13" s="8">
        <f>ROUND((D13*E13),2)</f>
        <v>6</v>
      </c>
      <c r="G13" s="13"/>
    </row>
    <row r="14" spans="1:8" ht="15.75">
      <c r="A14" s="96"/>
      <c r="B14" s="6" t="s">
        <v>26</v>
      </c>
      <c r="C14" s="10" t="s">
        <v>46</v>
      </c>
      <c r="D14" s="17">
        <v>10</v>
      </c>
      <c r="E14" s="37">
        <v>0.4</v>
      </c>
      <c r="F14" s="18">
        <f>D14*E14</f>
        <v>4</v>
      </c>
      <c r="G14" s="9"/>
    </row>
    <row r="15" spans="1:8" ht="15.75">
      <c r="A15" s="96"/>
      <c r="B15" s="6" t="s">
        <v>27</v>
      </c>
      <c r="C15" s="10" t="s">
        <v>28</v>
      </c>
      <c r="D15" s="11">
        <v>0.33</v>
      </c>
      <c r="E15" s="37">
        <v>95</v>
      </c>
      <c r="F15" s="8">
        <f t="shared" ref="F15:F24" si="0">ROUND((D15*E15),2)</f>
        <v>31.35</v>
      </c>
      <c r="G15" s="13"/>
    </row>
    <row r="16" spans="1:8" ht="15.75">
      <c r="A16" s="96"/>
      <c r="B16" s="6" t="s">
        <v>47</v>
      </c>
      <c r="C16" s="10" t="s">
        <v>29</v>
      </c>
      <c r="D16" s="11">
        <v>1</v>
      </c>
      <c r="E16" s="38">
        <v>70.87</v>
      </c>
      <c r="F16" s="8">
        <f t="shared" ref="F16" si="1">ROUND((D16*E16),2)</f>
        <v>70.87</v>
      </c>
      <c r="G16" s="13"/>
    </row>
    <row r="17" spans="1:8" ht="15.75">
      <c r="A17" s="96"/>
      <c r="B17" s="6" t="s">
        <v>48</v>
      </c>
      <c r="C17" s="10" t="s">
        <v>29</v>
      </c>
      <c r="D17" s="11">
        <v>1</v>
      </c>
      <c r="E17" s="38">
        <v>31.32</v>
      </c>
      <c r="F17" s="8">
        <f t="shared" si="0"/>
        <v>31.32</v>
      </c>
      <c r="G17" s="13"/>
    </row>
    <row r="18" spans="1:8" ht="15.75">
      <c r="A18" s="96"/>
      <c r="B18" s="6" t="s">
        <v>30</v>
      </c>
      <c r="C18" s="10" t="s">
        <v>29</v>
      </c>
      <c r="D18" s="42">
        <v>1</v>
      </c>
      <c r="E18" s="38">
        <v>27.05</v>
      </c>
      <c r="F18" s="8">
        <f t="shared" si="0"/>
        <v>27.05</v>
      </c>
      <c r="G18" s="13"/>
    </row>
    <row r="19" spans="1:8" ht="15.75">
      <c r="A19" s="96"/>
      <c r="B19" s="6" t="s">
        <v>31</v>
      </c>
      <c r="C19" s="10" t="s">
        <v>29</v>
      </c>
      <c r="D19" s="42">
        <v>1</v>
      </c>
      <c r="E19" s="38">
        <v>20</v>
      </c>
      <c r="F19" s="8">
        <f t="shared" si="0"/>
        <v>20</v>
      </c>
      <c r="G19" s="13"/>
    </row>
    <row r="20" spans="1:8" ht="15.75">
      <c r="A20" s="96"/>
      <c r="B20" s="6" t="s">
        <v>32</v>
      </c>
      <c r="C20" s="10" t="s">
        <v>46</v>
      </c>
      <c r="D20" s="42">
        <f>D6</f>
        <v>900</v>
      </c>
      <c r="E20" s="19">
        <v>0.15</v>
      </c>
      <c r="F20" s="8">
        <f t="shared" si="0"/>
        <v>135</v>
      </c>
      <c r="G20" s="13"/>
    </row>
    <row r="21" spans="1:8" ht="15.75">
      <c r="A21" s="96"/>
      <c r="B21" s="6" t="s">
        <v>33</v>
      </c>
      <c r="C21" s="6" t="s">
        <v>29</v>
      </c>
      <c r="D21" s="11">
        <v>1</v>
      </c>
      <c r="E21" s="20">
        <v>30</v>
      </c>
      <c r="F21" s="8">
        <f t="shared" si="0"/>
        <v>30</v>
      </c>
      <c r="G21" s="13"/>
    </row>
    <row r="22" spans="1:8" ht="15.75">
      <c r="A22" s="96"/>
      <c r="B22" s="6" t="s">
        <v>34</v>
      </c>
      <c r="C22" s="10" t="s">
        <v>29</v>
      </c>
      <c r="D22" s="11">
        <v>1</v>
      </c>
      <c r="E22" s="37">
        <v>150.66999999999999</v>
      </c>
      <c r="F22" s="8">
        <f t="shared" si="0"/>
        <v>150.66999999999999</v>
      </c>
      <c r="H22" s="53"/>
    </row>
    <row r="23" spans="1:8" ht="15.75">
      <c r="A23" s="96"/>
      <c r="B23" s="6" t="s">
        <v>35</v>
      </c>
      <c r="C23" s="10" t="s">
        <v>36</v>
      </c>
      <c r="D23" s="42">
        <v>2.99</v>
      </c>
      <c r="E23" s="38">
        <v>14.91</v>
      </c>
      <c r="F23" s="8">
        <f t="shared" si="0"/>
        <v>44.58</v>
      </c>
      <c r="G23" s="13"/>
    </row>
    <row r="24" spans="1:8" ht="15.75">
      <c r="A24" s="96"/>
      <c r="B24" s="6" t="s">
        <v>37</v>
      </c>
      <c r="C24" s="10" t="s">
        <v>38</v>
      </c>
      <c r="D24" s="8">
        <f>(F22+SUM(F9:F18,F23))*6/12</f>
        <v>277.79000000000002</v>
      </c>
      <c r="E24" s="39">
        <v>8.5000000000000006E-2</v>
      </c>
      <c r="F24" s="8">
        <f t="shared" si="0"/>
        <v>23.61</v>
      </c>
      <c r="G24" s="13"/>
    </row>
    <row r="25" spans="1:8" ht="16.5" thickBot="1">
      <c r="A25" s="97"/>
      <c r="B25" s="94" t="s">
        <v>39</v>
      </c>
      <c r="C25" s="94"/>
      <c r="D25" s="94"/>
      <c r="E25" s="94"/>
      <c r="F25" s="57">
        <f>SUM(F9:F24)</f>
        <v>764.19</v>
      </c>
      <c r="G25" s="13"/>
    </row>
    <row r="26" spans="1:8" ht="17.25" thickTop="1" thickBot="1">
      <c r="A26" s="92" t="s">
        <v>40</v>
      </c>
      <c r="B26" s="92"/>
      <c r="C26" s="92"/>
      <c r="D26" s="92"/>
      <c r="E26" s="92"/>
      <c r="F26" s="49">
        <f>F8-F25</f>
        <v>82.079999999999927</v>
      </c>
      <c r="G26" s="13"/>
    </row>
    <row r="27" spans="1:8" ht="16.5" thickTop="1">
      <c r="A27" s="93" t="s">
        <v>2</v>
      </c>
      <c r="B27" s="6" t="s">
        <v>34</v>
      </c>
      <c r="C27" s="10" t="s">
        <v>29</v>
      </c>
      <c r="D27" s="11">
        <v>1</v>
      </c>
      <c r="E27" s="37">
        <v>272.77</v>
      </c>
      <c r="F27" s="8">
        <f>ROUND((D27*E27),2)</f>
        <v>272.77</v>
      </c>
      <c r="G27" s="9"/>
    </row>
    <row r="28" spans="1:8" ht="15.75">
      <c r="A28" s="93"/>
      <c r="B28" s="95" t="s">
        <v>49</v>
      </c>
      <c r="C28" s="95"/>
      <c r="D28" s="95"/>
      <c r="E28" s="95"/>
      <c r="F28" s="15">
        <f>F27</f>
        <v>272.77</v>
      </c>
      <c r="G28" s="16"/>
    </row>
    <row r="29" spans="1:8" ht="15.75">
      <c r="A29" s="93" t="s">
        <v>3</v>
      </c>
      <c r="B29" s="6" t="s">
        <v>42</v>
      </c>
      <c r="C29" s="10" t="s">
        <v>38</v>
      </c>
      <c r="D29" s="41">
        <f>F25</f>
        <v>764.19</v>
      </c>
      <c r="E29" s="39">
        <v>7.0000000000000007E-2</v>
      </c>
      <c r="F29" s="8">
        <f>ROUND((D29*E29),2)</f>
        <v>53.49</v>
      </c>
      <c r="G29" s="9"/>
    </row>
    <row r="30" spans="1:8" ht="15.75">
      <c r="A30" s="93"/>
      <c r="B30" s="95" t="s">
        <v>50</v>
      </c>
      <c r="C30" s="95"/>
      <c r="D30" s="95"/>
      <c r="E30" s="95"/>
      <c r="F30" s="15">
        <f>F29</f>
        <v>53.49</v>
      </c>
      <c r="G30" s="13"/>
    </row>
    <row r="31" spans="1:8" ht="16.5" thickBot="1">
      <c r="A31" s="94" t="s">
        <v>41</v>
      </c>
      <c r="B31" s="94"/>
      <c r="C31" s="94"/>
      <c r="D31" s="94"/>
      <c r="E31" s="94"/>
      <c r="F31" s="15">
        <f>SUM(F25+F28+F30)</f>
        <v>1090.45</v>
      </c>
      <c r="G31" s="16"/>
    </row>
    <row r="32" spans="1:8" ht="17.25" thickTop="1" thickBot="1">
      <c r="A32" s="92" t="s">
        <v>45</v>
      </c>
      <c r="B32" s="92"/>
      <c r="C32" s="92"/>
      <c r="D32" s="92"/>
      <c r="E32" s="92"/>
      <c r="F32" s="21">
        <f>F8-F31</f>
        <v>-244.18000000000006</v>
      </c>
      <c r="G32" s="13"/>
    </row>
    <row r="33" spans="1:7" ht="17.25" thickTop="1" thickBot="1">
      <c r="A33" s="1"/>
      <c r="B33" s="1"/>
      <c r="C33" s="1"/>
      <c r="D33" s="1"/>
      <c r="E33" s="2"/>
      <c r="F33" s="1"/>
      <c r="G33" s="1"/>
    </row>
    <row r="34" spans="1:7" ht="15.75">
      <c r="A34" s="22"/>
      <c r="B34" s="23"/>
      <c r="C34" s="23"/>
      <c r="D34" s="23"/>
      <c r="E34" s="24"/>
      <c r="F34" s="23"/>
      <c r="G34" s="25"/>
    </row>
    <row r="35" spans="1:7" ht="15.75">
      <c r="A35" s="26" t="s">
        <v>4</v>
      </c>
      <c r="B35" s="1"/>
      <c r="C35" s="6"/>
      <c r="D35" s="1"/>
      <c r="E35" s="27" t="s">
        <v>5</v>
      </c>
      <c r="F35" s="1"/>
      <c r="G35" s="28"/>
    </row>
    <row r="36" spans="1:7" ht="15.75">
      <c r="A36" s="29" t="s">
        <v>43</v>
      </c>
      <c r="B36" s="1"/>
      <c r="C36" s="30">
        <f>(F25-F20)/(E6+(E7*H7)-E20)</f>
        <v>796.1407060609896</v>
      </c>
      <c r="D36" s="10" t="s">
        <v>46</v>
      </c>
      <c r="E36" s="31" t="s">
        <v>43</v>
      </c>
      <c r="F36" s="1"/>
      <c r="G36" s="32">
        <f>(F25-F7)/D6</f>
        <v>0.69880000000000009</v>
      </c>
    </row>
    <row r="37" spans="1:7" ht="15.75">
      <c r="A37" s="29" t="s">
        <v>44</v>
      </c>
      <c r="B37" s="1"/>
      <c r="C37" s="30">
        <f>((F31-F20-F29)+((F25-F20)*E29))/(E6+(E7*H7)-E20-(E20*E29))</f>
        <v>1213.1358040523212</v>
      </c>
      <c r="D37" s="10" t="s">
        <v>46</v>
      </c>
      <c r="E37" s="31" t="s">
        <v>44</v>
      </c>
      <c r="F37" s="1"/>
      <c r="G37" s="32">
        <f>(F31-F7)/D6</f>
        <v>1.0613111111111111</v>
      </c>
    </row>
    <row r="38" spans="1:7" ht="16.5" thickBot="1">
      <c r="A38" s="33"/>
      <c r="B38" s="34"/>
      <c r="C38" s="40"/>
      <c r="D38" s="40"/>
      <c r="E38" s="35"/>
      <c r="F38" s="34"/>
      <c r="G38" s="36"/>
    </row>
  </sheetData>
  <mergeCells count="11">
    <mergeCell ref="A9:A25"/>
    <mergeCell ref="A6:A8"/>
    <mergeCell ref="B8:E8"/>
    <mergeCell ref="B25:E25"/>
    <mergeCell ref="A26:E26"/>
    <mergeCell ref="A32:E32"/>
    <mergeCell ref="A29:A30"/>
    <mergeCell ref="A31:E31"/>
    <mergeCell ref="B30:E30"/>
    <mergeCell ref="B28:E28"/>
    <mergeCell ref="A27:A28"/>
  </mergeCell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B6AF0-A633-4D76-84B0-27E6B499D9B5}">
  <sheetPr>
    <pageSetUpPr fitToPage="1"/>
  </sheetPr>
  <dimension ref="A1:H55"/>
  <sheetViews>
    <sheetView zoomScale="80" zoomScaleNormal="80" workbookViewId="0">
      <selection activeCell="D18" sqref="D18:D21"/>
    </sheetView>
  </sheetViews>
  <sheetFormatPr defaultRowHeight="15"/>
  <cols>
    <col min="1" max="1" width="26" bestFit="1" customWidth="1"/>
    <col min="2" max="2" width="39.140625" bestFit="1" customWidth="1"/>
    <col min="3" max="3" width="6.42578125" bestFit="1" customWidth="1"/>
    <col min="4" max="4" width="10" bestFit="1" customWidth="1"/>
    <col min="5" max="5" width="27.85546875" bestFit="1" customWidth="1"/>
    <col min="6" max="6" width="16.28515625" bestFit="1" customWidth="1"/>
    <col min="7" max="7" width="7" bestFit="1" customWidth="1"/>
  </cols>
  <sheetData>
    <row r="1" spans="1:8" ht="45.75">
      <c r="A1" s="3" t="s">
        <v>9</v>
      </c>
      <c r="B1" s="4"/>
      <c r="C1" s="4"/>
      <c r="D1" s="4"/>
      <c r="E1" s="5"/>
      <c r="F1" s="4"/>
      <c r="G1" s="14"/>
    </row>
    <row r="2" spans="1:8" ht="15.75">
      <c r="A2" s="1"/>
      <c r="B2" s="6" t="s">
        <v>67</v>
      </c>
      <c r="C2" s="1"/>
      <c r="D2" s="1"/>
      <c r="E2" s="2"/>
      <c r="F2" s="1"/>
      <c r="G2" s="1"/>
    </row>
    <row r="3" spans="1:8" ht="16.5" thickBot="1">
      <c r="A3" s="71"/>
      <c r="B3" s="72" t="s">
        <v>69</v>
      </c>
      <c r="C3" s="71"/>
      <c r="D3" s="71"/>
      <c r="E3" s="73"/>
      <c r="F3" s="71"/>
      <c r="G3" s="1"/>
    </row>
    <row r="4" spans="1:8" ht="16.5" thickTop="1">
      <c r="A4" s="44" t="s">
        <v>11</v>
      </c>
      <c r="B4" s="46" t="s">
        <v>12</v>
      </c>
      <c r="C4" s="47" t="s">
        <v>13</v>
      </c>
      <c r="D4" s="54" t="s">
        <v>14</v>
      </c>
      <c r="E4" s="55" t="s">
        <v>15</v>
      </c>
      <c r="F4" s="54" t="s">
        <v>16</v>
      </c>
      <c r="G4" s="9"/>
    </row>
    <row r="5" spans="1:8" ht="15.75">
      <c r="A5" s="1"/>
      <c r="B5" s="1"/>
      <c r="C5" s="1"/>
      <c r="D5" s="7"/>
      <c r="E5" s="8"/>
      <c r="F5" s="7"/>
      <c r="G5" s="9"/>
    </row>
    <row r="6" spans="1:8" ht="15.75">
      <c r="A6" s="98" t="s">
        <v>0</v>
      </c>
      <c r="B6" s="6" t="s">
        <v>17</v>
      </c>
      <c r="C6" s="10" t="s">
        <v>46</v>
      </c>
      <c r="D6" s="11">
        <v>900</v>
      </c>
      <c r="E6" s="12">
        <v>0.79</v>
      </c>
      <c r="F6" s="8">
        <f>ROUND((D6*E6),2)</f>
        <v>711</v>
      </c>
      <c r="G6" s="13"/>
    </row>
    <row r="7" spans="1:8" ht="15.75">
      <c r="A7" s="98"/>
      <c r="B7" s="6" t="s">
        <v>18</v>
      </c>
      <c r="C7" s="10" t="s">
        <v>46</v>
      </c>
      <c r="D7" s="42">
        <v>1503</v>
      </c>
      <c r="E7" s="12">
        <v>0.09</v>
      </c>
      <c r="F7" s="8">
        <f>ROUND((D7*E7),2)</f>
        <v>135.27000000000001</v>
      </c>
      <c r="H7" s="56">
        <v>1.67</v>
      </c>
    </row>
    <row r="8" spans="1:8" ht="15.75">
      <c r="A8" s="98"/>
      <c r="B8" s="95" t="s">
        <v>19</v>
      </c>
      <c r="C8" s="95"/>
      <c r="D8" s="95"/>
      <c r="E8" s="95"/>
      <c r="F8" s="15">
        <f>SUM(F6:F7)</f>
        <v>846.27</v>
      </c>
      <c r="G8" s="13"/>
    </row>
    <row r="9" spans="1:8" ht="15.75">
      <c r="A9" s="96" t="s">
        <v>1</v>
      </c>
      <c r="B9" s="6" t="s">
        <v>20</v>
      </c>
      <c r="C9" s="10" t="s">
        <v>21</v>
      </c>
      <c r="D9" s="42">
        <v>46</v>
      </c>
      <c r="E9" s="37">
        <v>2.77</v>
      </c>
      <c r="F9" s="8">
        <f>ROUND((D9*E9),2)</f>
        <v>127.42</v>
      </c>
      <c r="G9" s="9"/>
    </row>
    <row r="10" spans="1:8" ht="15.75">
      <c r="A10" s="96"/>
      <c r="B10" s="6" t="s">
        <v>22</v>
      </c>
      <c r="C10" s="10" t="s">
        <v>46</v>
      </c>
      <c r="D10" s="11">
        <v>180</v>
      </c>
      <c r="E10" s="37">
        <v>0.15</v>
      </c>
      <c r="F10" s="8">
        <f>ROUND((D10*E10),2)</f>
        <v>27</v>
      </c>
      <c r="G10" s="16"/>
    </row>
    <row r="11" spans="1:8" ht="15.75">
      <c r="A11" s="96"/>
      <c r="B11" s="6" t="s">
        <v>23</v>
      </c>
      <c r="C11" s="10" t="s">
        <v>46</v>
      </c>
      <c r="D11" s="11">
        <v>65</v>
      </c>
      <c r="E11" s="37">
        <v>0.36</v>
      </c>
      <c r="F11" s="8">
        <f>ROUND((D11*E11),2)</f>
        <v>23.4</v>
      </c>
      <c r="G11" s="9"/>
    </row>
    <row r="12" spans="1:8" ht="15.75">
      <c r="A12" s="96"/>
      <c r="B12" s="6" t="s">
        <v>24</v>
      </c>
      <c r="C12" s="10" t="s">
        <v>46</v>
      </c>
      <c r="D12" s="11">
        <v>50</v>
      </c>
      <c r="E12" s="37">
        <v>0.46</v>
      </c>
      <c r="F12" s="8">
        <f>ROUND((D12*E12),2)</f>
        <v>23</v>
      </c>
      <c r="G12" s="9"/>
    </row>
    <row r="13" spans="1:8" ht="15.75">
      <c r="A13" s="96"/>
      <c r="B13" s="6" t="s">
        <v>25</v>
      </c>
      <c r="C13" s="10" t="s">
        <v>46</v>
      </c>
      <c r="D13" s="11">
        <v>3</v>
      </c>
      <c r="E13" s="37">
        <v>2</v>
      </c>
      <c r="F13" s="8">
        <f>ROUND((D13*E13),2)</f>
        <v>6</v>
      </c>
      <c r="G13" s="13"/>
    </row>
    <row r="14" spans="1:8" ht="15.75">
      <c r="A14" s="96"/>
      <c r="B14" s="6" t="s">
        <v>26</v>
      </c>
      <c r="C14" s="10" t="s">
        <v>46</v>
      </c>
      <c r="D14" s="17">
        <v>10</v>
      </c>
      <c r="E14" s="37">
        <v>0.4</v>
      </c>
      <c r="F14" s="18">
        <f>D14*E14</f>
        <v>4</v>
      </c>
      <c r="G14" s="9"/>
    </row>
    <row r="15" spans="1:8" ht="15.75">
      <c r="A15" s="96"/>
      <c r="B15" s="6" t="s">
        <v>27</v>
      </c>
      <c r="C15" s="10" t="s">
        <v>28</v>
      </c>
      <c r="D15" s="11">
        <v>0.33</v>
      </c>
      <c r="E15" s="37">
        <v>95</v>
      </c>
      <c r="F15" s="8">
        <f t="shared" ref="F15:F24" si="0">ROUND((D15*E15),2)</f>
        <v>31.35</v>
      </c>
      <c r="G15" s="13"/>
    </row>
    <row r="16" spans="1:8" ht="15.75">
      <c r="A16" s="96"/>
      <c r="B16" s="6" t="s">
        <v>47</v>
      </c>
      <c r="C16" s="10" t="s">
        <v>29</v>
      </c>
      <c r="D16" s="11">
        <v>1</v>
      </c>
      <c r="E16" s="38">
        <v>87.54</v>
      </c>
      <c r="F16" s="8">
        <f t="shared" ref="F16" si="1">ROUND((D16*E16),2)</f>
        <v>87.54</v>
      </c>
      <c r="G16" s="13"/>
    </row>
    <row r="17" spans="1:8" ht="15.75">
      <c r="A17" s="96"/>
      <c r="B17" s="6" t="s">
        <v>48</v>
      </c>
      <c r="C17" s="10" t="s">
        <v>29</v>
      </c>
      <c r="D17" s="11">
        <v>1</v>
      </c>
      <c r="E17" s="38">
        <v>31.32</v>
      </c>
      <c r="F17" s="8">
        <f t="shared" si="0"/>
        <v>31.32</v>
      </c>
      <c r="G17" s="13"/>
    </row>
    <row r="18" spans="1:8" ht="15.75">
      <c r="A18" s="96"/>
      <c r="B18" s="6" t="s">
        <v>30</v>
      </c>
      <c r="C18" s="10" t="s">
        <v>29</v>
      </c>
      <c r="D18" s="42">
        <v>1</v>
      </c>
      <c r="E18" s="38">
        <v>27.05</v>
      </c>
      <c r="F18" s="8">
        <f t="shared" si="0"/>
        <v>27.05</v>
      </c>
      <c r="G18" s="13"/>
    </row>
    <row r="19" spans="1:8" ht="15.75">
      <c r="A19" s="96"/>
      <c r="B19" s="6" t="s">
        <v>31</v>
      </c>
      <c r="C19" s="10" t="s">
        <v>29</v>
      </c>
      <c r="D19" s="42">
        <v>1</v>
      </c>
      <c r="E19" s="38">
        <v>20</v>
      </c>
      <c r="F19" s="8">
        <f t="shared" si="0"/>
        <v>20</v>
      </c>
      <c r="G19" s="13"/>
    </row>
    <row r="20" spans="1:8" ht="15.75">
      <c r="A20" s="96"/>
      <c r="B20" s="6" t="s">
        <v>32</v>
      </c>
      <c r="C20" s="10" t="s">
        <v>46</v>
      </c>
      <c r="D20" s="42">
        <f>D6</f>
        <v>900</v>
      </c>
      <c r="E20" s="19">
        <v>0.15</v>
      </c>
      <c r="F20" s="8">
        <f t="shared" si="0"/>
        <v>135</v>
      </c>
      <c r="G20" s="13"/>
    </row>
    <row r="21" spans="1:8" ht="15.75">
      <c r="A21" s="96"/>
      <c r="B21" s="6" t="s">
        <v>33</v>
      </c>
      <c r="C21" s="6" t="s">
        <v>29</v>
      </c>
      <c r="D21" s="42">
        <v>1</v>
      </c>
      <c r="E21" s="20">
        <v>30</v>
      </c>
      <c r="F21" s="8">
        <f t="shared" si="0"/>
        <v>30</v>
      </c>
      <c r="G21" s="13"/>
    </row>
    <row r="22" spans="1:8" ht="15.75">
      <c r="A22" s="96"/>
      <c r="B22" s="6" t="s">
        <v>34</v>
      </c>
      <c r="C22" s="10" t="s">
        <v>29</v>
      </c>
      <c r="D22" s="11">
        <v>1</v>
      </c>
      <c r="E22" s="37">
        <v>145.29</v>
      </c>
      <c r="F22" s="8">
        <f t="shared" si="0"/>
        <v>145.29</v>
      </c>
      <c r="H22" s="53"/>
    </row>
    <row r="23" spans="1:8" ht="15.75">
      <c r="A23" s="96"/>
      <c r="B23" s="6" t="s">
        <v>35</v>
      </c>
      <c r="C23" s="10" t="s">
        <v>36</v>
      </c>
      <c r="D23" s="42">
        <v>2.59</v>
      </c>
      <c r="E23" s="38">
        <v>14.91</v>
      </c>
      <c r="F23" s="8">
        <f t="shared" si="0"/>
        <v>38.619999999999997</v>
      </c>
      <c r="G23" s="13"/>
    </row>
    <row r="24" spans="1:8" ht="15.75">
      <c r="A24" s="96"/>
      <c r="B24" s="6" t="s">
        <v>37</v>
      </c>
      <c r="C24" s="10" t="s">
        <v>38</v>
      </c>
      <c r="D24" s="8">
        <f>(F22+SUM(F9:F18,F23))*6/12</f>
        <v>285.995</v>
      </c>
      <c r="E24" s="39">
        <v>8.5000000000000006E-2</v>
      </c>
      <c r="F24" s="8">
        <f t="shared" si="0"/>
        <v>24.31</v>
      </c>
      <c r="G24" s="13"/>
    </row>
    <row r="25" spans="1:8" ht="16.5" thickBot="1">
      <c r="A25" s="97"/>
      <c r="B25" s="94" t="s">
        <v>39</v>
      </c>
      <c r="C25" s="94"/>
      <c r="D25" s="94"/>
      <c r="E25" s="94"/>
      <c r="F25" s="57">
        <f>SUM(F9:F24)</f>
        <v>781.3</v>
      </c>
      <c r="G25" s="13"/>
    </row>
    <row r="26" spans="1:8" s="70" customFormat="1" ht="17.25" thickTop="1" thickBot="1">
      <c r="A26" s="92" t="s">
        <v>40</v>
      </c>
      <c r="B26" s="92"/>
      <c r="C26" s="92"/>
      <c r="D26" s="92"/>
      <c r="E26" s="92"/>
      <c r="F26" s="49">
        <f>F8-F25</f>
        <v>64.970000000000027</v>
      </c>
      <c r="G26" s="13"/>
    </row>
    <row r="27" spans="1:8" ht="16.5" thickTop="1">
      <c r="A27" s="93" t="s">
        <v>2</v>
      </c>
      <c r="B27" s="6" t="s">
        <v>34</v>
      </c>
      <c r="C27" s="10" t="s">
        <v>29</v>
      </c>
      <c r="D27" s="11">
        <v>1</v>
      </c>
      <c r="E27" s="37">
        <v>248.78</v>
      </c>
      <c r="F27" s="8">
        <f>ROUND((D27*E27),2)</f>
        <v>248.78</v>
      </c>
      <c r="G27" s="9"/>
    </row>
    <row r="28" spans="1:8" ht="15.75">
      <c r="A28" s="93"/>
      <c r="B28" s="95" t="s">
        <v>49</v>
      </c>
      <c r="C28" s="95"/>
      <c r="D28" s="95"/>
      <c r="E28" s="95"/>
      <c r="F28" s="15">
        <f>F27</f>
        <v>248.78</v>
      </c>
      <c r="G28" s="16"/>
    </row>
    <row r="29" spans="1:8" ht="15.75">
      <c r="A29" s="93" t="s">
        <v>3</v>
      </c>
      <c r="B29" s="6" t="s">
        <v>42</v>
      </c>
      <c r="C29" s="10" t="s">
        <v>38</v>
      </c>
      <c r="D29" s="41">
        <f>F25</f>
        <v>781.3</v>
      </c>
      <c r="E29" s="39">
        <v>7.0000000000000007E-2</v>
      </c>
      <c r="F29" s="8">
        <f>ROUND((D29*E29),2)</f>
        <v>54.69</v>
      </c>
      <c r="G29" s="9"/>
    </row>
    <row r="30" spans="1:8" ht="15.75">
      <c r="A30" s="93"/>
      <c r="B30" s="95" t="s">
        <v>50</v>
      </c>
      <c r="C30" s="95"/>
      <c r="D30" s="95"/>
      <c r="E30" s="95"/>
      <c r="F30" s="15">
        <f>F29</f>
        <v>54.69</v>
      </c>
      <c r="G30" s="13"/>
    </row>
    <row r="31" spans="1:8" ht="16.5" thickBot="1">
      <c r="A31" s="94" t="s">
        <v>41</v>
      </c>
      <c r="B31" s="94"/>
      <c r="C31" s="94"/>
      <c r="D31" s="94"/>
      <c r="E31" s="94"/>
      <c r="F31" s="15">
        <f>SUM(F25+F28+F30)</f>
        <v>1084.77</v>
      </c>
      <c r="G31" s="16"/>
    </row>
    <row r="32" spans="1:8" ht="17.25" thickTop="1" thickBot="1">
      <c r="A32" s="92" t="s">
        <v>45</v>
      </c>
      <c r="B32" s="92"/>
      <c r="C32" s="92"/>
      <c r="D32" s="92"/>
      <c r="E32" s="92"/>
      <c r="F32" s="21">
        <f>F8-F31</f>
        <v>-238.5</v>
      </c>
      <c r="G32" s="13"/>
    </row>
    <row r="33" spans="1:7" ht="17.25" thickTop="1" thickBot="1">
      <c r="A33" s="1"/>
      <c r="B33" s="1"/>
      <c r="C33" s="1"/>
      <c r="D33" s="1"/>
      <c r="E33" s="2"/>
      <c r="F33" s="1"/>
      <c r="G33" s="1"/>
    </row>
    <row r="34" spans="1:7" ht="15.75">
      <c r="A34" s="22"/>
      <c r="B34" s="23"/>
      <c r="C34" s="23"/>
      <c r="D34" s="23"/>
      <c r="E34" s="24"/>
      <c r="F34" s="23"/>
      <c r="G34" s="25"/>
    </row>
    <row r="35" spans="1:7" ht="15.75">
      <c r="A35" s="26" t="s">
        <v>4</v>
      </c>
      <c r="B35" s="1"/>
      <c r="C35" s="6"/>
      <c r="D35" s="1"/>
      <c r="E35" s="27" t="s">
        <v>5</v>
      </c>
      <c r="F35" s="1"/>
      <c r="G35" s="28"/>
    </row>
    <row r="36" spans="1:7" ht="15.75">
      <c r="A36" s="29" t="s">
        <v>43</v>
      </c>
      <c r="B36" s="1"/>
      <c r="C36" s="30">
        <f>(F25-F20)/(E6+(E7*H7)-E20)</f>
        <v>817.79071238770086</v>
      </c>
      <c r="D36" s="10" t="s">
        <v>46</v>
      </c>
      <c r="E36" s="31" t="s">
        <v>43</v>
      </c>
      <c r="F36" s="1"/>
      <c r="G36" s="32">
        <f>(F25-F7)/D6</f>
        <v>0.71781111111111107</v>
      </c>
    </row>
    <row r="37" spans="1:7" ht="15.75">
      <c r="A37" s="29" t="s">
        <v>44</v>
      </c>
      <c r="B37" s="1"/>
      <c r="C37" s="30">
        <f>((F31-F20-F29)+((F25-F20)*E29))/(E6+(E7*H7)-E20-(E20*E29))</f>
        <v>1205.8489356245188</v>
      </c>
      <c r="D37" s="10" t="s">
        <v>46</v>
      </c>
      <c r="E37" s="31" t="s">
        <v>44</v>
      </c>
      <c r="F37" s="1"/>
      <c r="G37" s="32">
        <f>(F31-F7)/D6</f>
        <v>1.0549999999999999</v>
      </c>
    </row>
    <row r="38" spans="1:7" ht="16.5" thickBot="1">
      <c r="A38" s="33"/>
      <c r="B38" s="34"/>
      <c r="C38" s="40"/>
      <c r="D38" s="40"/>
      <c r="E38" s="35"/>
      <c r="F38" s="34"/>
      <c r="G38" s="36"/>
    </row>
    <row r="40" spans="1:7" ht="15.75">
      <c r="A40" s="6"/>
      <c r="B40" s="1"/>
      <c r="C40" s="1"/>
      <c r="D40" s="7"/>
      <c r="E40" s="8"/>
      <c r="F40" s="15"/>
      <c r="G40" s="16"/>
    </row>
    <row r="41" spans="1:7" ht="15.75">
      <c r="A41" s="1"/>
      <c r="B41" s="1"/>
      <c r="C41" s="1"/>
      <c r="D41" s="7"/>
      <c r="E41" s="8"/>
      <c r="F41" s="7"/>
      <c r="G41" s="9"/>
    </row>
    <row r="42" spans="1:7" ht="15.75">
      <c r="A42" s="58"/>
      <c r="B42" s="1"/>
      <c r="C42" s="1"/>
      <c r="D42" s="7"/>
      <c r="E42" s="8"/>
      <c r="F42" s="7"/>
      <c r="G42" s="9"/>
    </row>
    <row r="43" spans="1:7" ht="15.75">
      <c r="A43" s="1"/>
      <c r="B43" s="6"/>
      <c r="C43" s="10"/>
      <c r="D43" s="41"/>
      <c r="E43" s="39"/>
      <c r="F43" s="8"/>
      <c r="G43" s="13"/>
    </row>
    <row r="44" spans="1:7" ht="15.75">
      <c r="A44" s="1"/>
      <c r="B44" s="1"/>
      <c r="C44" s="10"/>
      <c r="D44" s="7"/>
      <c r="E44" s="8"/>
      <c r="F44" s="59"/>
      <c r="G44" s="60"/>
    </row>
    <row r="45" spans="1:7" ht="15.75">
      <c r="A45" s="6"/>
      <c r="B45" s="1"/>
      <c r="C45" s="1"/>
      <c r="D45" s="7"/>
      <c r="E45" s="8"/>
      <c r="F45" s="15"/>
      <c r="G45" s="13"/>
    </row>
    <row r="46" spans="1:7" ht="15.75">
      <c r="A46" s="1"/>
      <c r="B46" s="1"/>
      <c r="C46" s="1"/>
      <c r="D46" s="7"/>
      <c r="E46" s="8"/>
      <c r="F46" s="7"/>
      <c r="G46" s="9"/>
    </row>
    <row r="47" spans="1:7" ht="15.75">
      <c r="A47" s="58"/>
      <c r="B47" s="1"/>
      <c r="C47" s="1"/>
      <c r="D47" s="7"/>
      <c r="E47" s="8"/>
      <c r="F47" s="15"/>
      <c r="G47" s="16"/>
    </row>
    <row r="48" spans="1:7" ht="15.75">
      <c r="A48" s="1"/>
      <c r="B48" s="1"/>
      <c r="C48" s="1"/>
      <c r="D48" s="7"/>
      <c r="E48" s="8"/>
      <c r="F48" s="8"/>
      <c r="G48" s="9"/>
    </row>
    <row r="49" spans="1:7" ht="15.75">
      <c r="A49" s="58"/>
      <c r="B49" s="61"/>
      <c r="C49" s="61"/>
      <c r="D49" s="59"/>
      <c r="E49" s="15"/>
      <c r="F49" s="15"/>
      <c r="G49" s="13"/>
    </row>
    <row r="50" spans="1:7" ht="15.75">
      <c r="A50" s="1"/>
      <c r="B50" s="1"/>
      <c r="C50" s="1"/>
      <c r="D50" s="1"/>
      <c r="E50" s="2"/>
      <c r="F50" s="1"/>
      <c r="G50" s="1"/>
    </row>
    <row r="51" spans="1:7" ht="15.75">
      <c r="A51" s="1"/>
      <c r="B51" s="1"/>
      <c r="C51" s="1"/>
      <c r="D51" s="1"/>
      <c r="E51" s="2"/>
      <c r="F51" s="1"/>
      <c r="G51" s="1"/>
    </row>
    <row r="52" spans="1:7" ht="15.75">
      <c r="A52" s="62"/>
      <c r="B52" s="1"/>
      <c r="C52" s="6"/>
      <c r="D52" s="1"/>
      <c r="E52" s="27"/>
      <c r="F52" s="1"/>
      <c r="G52" s="1"/>
    </row>
    <row r="53" spans="1:7" ht="15.75">
      <c r="A53" s="6"/>
      <c r="B53" s="1"/>
      <c r="C53" s="30"/>
      <c r="D53" s="10"/>
      <c r="E53" s="31"/>
      <c r="F53" s="1"/>
      <c r="G53" s="63"/>
    </row>
    <row r="54" spans="1:7" ht="15.75">
      <c r="A54" s="6"/>
      <c r="B54" s="1"/>
      <c r="C54" s="30"/>
      <c r="D54" s="10"/>
      <c r="E54" s="31"/>
      <c r="F54" s="1"/>
      <c r="G54" s="63"/>
    </row>
    <row r="55" spans="1:7" ht="15.75">
      <c r="A55" s="1"/>
      <c r="B55" s="1"/>
      <c r="C55" s="6"/>
      <c r="D55" s="6"/>
      <c r="E55" s="2"/>
      <c r="F55" s="1"/>
      <c r="G55" s="18"/>
    </row>
  </sheetData>
  <mergeCells count="11">
    <mergeCell ref="A6:A8"/>
    <mergeCell ref="B8:E8"/>
    <mergeCell ref="B25:E25"/>
    <mergeCell ref="A26:E26"/>
    <mergeCell ref="A27:A28"/>
    <mergeCell ref="B28:E28"/>
    <mergeCell ref="A29:A30"/>
    <mergeCell ref="B30:E30"/>
    <mergeCell ref="A31:E31"/>
    <mergeCell ref="A9:A25"/>
    <mergeCell ref="A32:E32"/>
  </mergeCells>
  <pageMargins left="0.7" right="0.7" top="0.75" bottom="0.75" header="0.3" footer="0.3"/>
  <pageSetup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C567-D167-4074-9938-B504B56D6ADA}">
  <sheetPr>
    <pageSetUpPr fitToPage="1"/>
  </sheetPr>
  <dimension ref="A1:H55"/>
  <sheetViews>
    <sheetView zoomScale="80" zoomScaleNormal="80" workbookViewId="0">
      <selection activeCell="D46" sqref="D46"/>
    </sheetView>
  </sheetViews>
  <sheetFormatPr defaultRowHeight="15"/>
  <cols>
    <col min="1" max="1" width="26" bestFit="1" customWidth="1"/>
    <col min="2" max="2" width="39.140625" bestFit="1" customWidth="1"/>
    <col min="3" max="3" width="6.42578125" bestFit="1" customWidth="1"/>
    <col min="4" max="4" width="10" bestFit="1" customWidth="1"/>
    <col min="5" max="5" width="27.85546875" bestFit="1" customWidth="1"/>
    <col min="6" max="6" width="16.28515625" bestFit="1" customWidth="1"/>
    <col min="7" max="7" width="7" bestFit="1" customWidth="1"/>
  </cols>
  <sheetData>
    <row r="1" spans="1:8" ht="45.75">
      <c r="A1" s="43" t="s">
        <v>10</v>
      </c>
      <c r="B1" s="45"/>
      <c r="C1" s="45"/>
      <c r="D1" s="45"/>
      <c r="E1" s="48"/>
      <c r="F1" s="45"/>
      <c r="G1" s="50"/>
    </row>
    <row r="2" spans="1:8" ht="15.75">
      <c r="A2" s="1"/>
      <c r="B2" s="6" t="s">
        <v>67</v>
      </c>
      <c r="C2" s="1"/>
      <c r="D2" s="1"/>
      <c r="E2" s="2"/>
      <c r="F2" s="1"/>
      <c r="G2" s="1"/>
    </row>
    <row r="3" spans="1:8" ht="16.5" thickBot="1">
      <c r="A3" s="71"/>
      <c r="B3" s="72" t="s">
        <v>68</v>
      </c>
      <c r="C3" s="71"/>
      <c r="D3" s="71"/>
      <c r="E3" s="73"/>
      <c r="F3" s="71"/>
      <c r="G3" s="1"/>
    </row>
    <row r="4" spans="1:8" ht="16.5" thickTop="1">
      <c r="A4" s="44" t="s">
        <v>11</v>
      </c>
      <c r="B4" s="46" t="s">
        <v>12</v>
      </c>
      <c r="C4" s="47" t="s">
        <v>13</v>
      </c>
      <c r="D4" s="54" t="s">
        <v>14</v>
      </c>
      <c r="E4" s="55" t="s">
        <v>15</v>
      </c>
      <c r="F4" s="54" t="s">
        <v>16</v>
      </c>
      <c r="G4" s="9"/>
    </row>
    <row r="5" spans="1:8" ht="15.75">
      <c r="A5" s="1"/>
      <c r="B5" s="1"/>
      <c r="C5" s="1"/>
      <c r="D5" s="7"/>
      <c r="E5" s="8"/>
      <c r="F5" s="7"/>
      <c r="G5" s="9"/>
    </row>
    <row r="6" spans="1:8" ht="15.75">
      <c r="A6" s="98" t="s">
        <v>0</v>
      </c>
      <c r="B6" s="6" t="s">
        <v>17</v>
      </c>
      <c r="C6" s="10" t="s">
        <v>46</v>
      </c>
      <c r="D6" s="11">
        <v>900</v>
      </c>
      <c r="E6" s="12">
        <v>0.79</v>
      </c>
      <c r="F6" s="8">
        <f>ROUND((D6*E6),2)</f>
        <v>711</v>
      </c>
      <c r="G6" s="13"/>
    </row>
    <row r="7" spans="1:8" ht="15.75">
      <c r="A7" s="98"/>
      <c r="B7" s="6" t="s">
        <v>18</v>
      </c>
      <c r="C7" s="10" t="s">
        <v>46</v>
      </c>
      <c r="D7" s="42">
        <v>1503</v>
      </c>
      <c r="E7" s="12">
        <v>0.09</v>
      </c>
      <c r="F7" s="8">
        <f>ROUND((D7*E7),2)</f>
        <v>135.27000000000001</v>
      </c>
      <c r="H7" s="56">
        <v>1.67</v>
      </c>
    </row>
    <row r="8" spans="1:8" ht="15.75">
      <c r="A8" s="98"/>
      <c r="B8" s="95" t="s">
        <v>19</v>
      </c>
      <c r="C8" s="95"/>
      <c r="D8" s="95"/>
      <c r="E8" s="95"/>
      <c r="F8" s="15">
        <f>SUM(F6:F7)</f>
        <v>846.27</v>
      </c>
      <c r="G8" s="13"/>
    </row>
    <row r="9" spans="1:8" ht="15.75">
      <c r="A9" s="96" t="s">
        <v>1</v>
      </c>
      <c r="B9" s="6" t="s">
        <v>20</v>
      </c>
      <c r="C9" s="10" t="s">
        <v>21</v>
      </c>
      <c r="D9" s="42">
        <v>44</v>
      </c>
      <c r="E9" s="37">
        <v>2.77</v>
      </c>
      <c r="F9" s="8">
        <f t="shared" ref="F9:F14" si="0">ROUND((D9*E9),2)</f>
        <v>121.88</v>
      </c>
      <c r="G9" s="9"/>
    </row>
    <row r="10" spans="1:8" ht="15.75">
      <c r="A10" s="96"/>
      <c r="B10" s="6" t="s">
        <v>22</v>
      </c>
      <c r="C10" s="10" t="s">
        <v>46</v>
      </c>
      <c r="D10" s="11">
        <v>180</v>
      </c>
      <c r="E10" s="37">
        <v>0.15</v>
      </c>
      <c r="F10" s="8">
        <f t="shared" si="0"/>
        <v>27</v>
      </c>
      <c r="G10" s="16"/>
    </row>
    <row r="11" spans="1:8" ht="15.75">
      <c r="A11" s="96"/>
      <c r="B11" s="6" t="s">
        <v>23</v>
      </c>
      <c r="C11" s="10" t="s">
        <v>46</v>
      </c>
      <c r="D11" s="11">
        <v>65</v>
      </c>
      <c r="E11" s="37">
        <v>0.36</v>
      </c>
      <c r="F11" s="8">
        <f t="shared" si="0"/>
        <v>23.4</v>
      </c>
      <c r="G11" s="9"/>
    </row>
    <row r="12" spans="1:8" ht="15.75">
      <c r="A12" s="96"/>
      <c r="B12" s="6" t="s">
        <v>24</v>
      </c>
      <c r="C12" s="10" t="s">
        <v>46</v>
      </c>
      <c r="D12" s="11">
        <v>50</v>
      </c>
      <c r="E12" s="37">
        <v>0.46</v>
      </c>
      <c r="F12" s="8">
        <f t="shared" si="0"/>
        <v>23</v>
      </c>
      <c r="G12" s="9"/>
    </row>
    <row r="13" spans="1:8" ht="15.75">
      <c r="A13" s="96"/>
      <c r="B13" s="6" t="s">
        <v>25</v>
      </c>
      <c r="C13" s="10" t="s">
        <v>46</v>
      </c>
      <c r="D13" s="11">
        <v>3</v>
      </c>
      <c r="E13" s="37">
        <v>2</v>
      </c>
      <c r="F13" s="8">
        <f t="shared" si="0"/>
        <v>6</v>
      </c>
      <c r="G13" s="13"/>
    </row>
    <row r="14" spans="1:8" ht="15.75">
      <c r="A14" s="96"/>
      <c r="B14" s="6" t="s">
        <v>26</v>
      </c>
      <c r="C14" s="10" t="s">
        <v>46</v>
      </c>
      <c r="D14" s="17">
        <v>10</v>
      </c>
      <c r="E14" s="37">
        <v>0.4</v>
      </c>
      <c r="F14" s="8">
        <f t="shared" si="0"/>
        <v>4</v>
      </c>
      <c r="G14" s="9"/>
    </row>
    <row r="15" spans="1:8" ht="15.75">
      <c r="A15" s="96"/>
      <c r="B15" s="6" t="s">
        <v>27</v>
      </c>
      <c r="C15" s="10" t="s">
        <v>28</v>
      </c>
      <c r="D15" s="11">
        <v>0.33</v>
      </c>
      <c r="E15" s="37">
        <v>95</v>
      </c>
      <c r="F15" s="8">
        <f t="shared" ref="F15:F24" si="1">ROUND((D15*E15),2)</f>
        <v>31.35</v>
      </c>
      <c r="G15" s="13"/>
    </row>
    <row r="16" spans="1:8" ht="15.75">
      <c r="A16" s="96"/>
      <c r="B16" s="6" t="s">
        <v>47</v>
      </c>
      <c r="C16" s="10" t="s">
        <v>29</v>
      </c>
      <c r="D16" s="42">
        <v>1</v>
      </c>
      <c r="E16" s="38">
        <v>87.54</v>
      </c>
      <c r="F16" s="8">
        <f t="shared" ref="F16" si="2">ROUND((D16*E16),2)</f>
        <v>87.54</v>
      </c>
      <c r="G16" s="13"/>
    </row>
    <row r="17" spans="1:8" ht="15.75">
      <c r="A17" s="96"/>
      <c r="B17" s="6" t="s">
        <v>48</v>
      </c>
      <c r="C17" s="10" t="s">
        <v>29</v>
      </c>
      <c r="D17" s="42">
        <v>1</v>
      </c>
      <c r="E17" s="38">
        <v>31.32</v>
      </c>
      <c r="F17" s="8">
        <f t="shared" si="1"/>
        <v>31.32</v>
      </c>
      <c r="G17" s="13"/>
    </row>
    <row r="18" spans="1:8" ht="15.75">
      <c r="A18" s="96"/>
      <c r="B18" s="6" t="s">
        <v>30</v>
      </c>
      <c r="C18" s="10" t="s">
        <v>29</v>
      </c>
      <c r="D18" s="42">
        <v>1</v>
      </c>
      <c r="E18" s="38">
        <v>27.05</v>
      </c>
      <c r="F18" s="8">
        <f t="shared" si="1"/>
        <v>27.05</v>
      </c>
      <c r="G18" s="13"/>
    </row>
    <row r="19" spans="1:8" ht="15.75">
      <c r="A19" s="96"/>
      <c r="B19" s="6" t="s">
        <v>31</v>
      </c>
      <c r="C19" s="10" t="s">
        <v>29</v>
      </c>
      <c r="D19" s="42">
        <v>1</v>
      </c>
      <c r="E19" s="38">
        <v>20</v>
      </c>
      <c r="F19" s="8">
        <f t="shared" si="1"/>
        <v>20</v>
      </c>
      <c r="G19" s="13"/>
    </row>
    <row r="20" spans="1:8" ht="15.75">
      <c r="A20" s="96"/>
      <c r="B20" s="6" t="s">
        <v>32</v>
      </c>
      <c r="C20" s="10" t="s">
        <v>46</v>
      </c>
      <c r="D20" s="42">
        <f>D6</f>
        <v>900</v>
      </c>
      <c r="E20" s="19">
        <v>0.15</v>
      </c>
      <c r="F20" s="8">
        <f t="shared" si="1"/>
        <v>135</v>
      </c>
      <c r="G20" s="13"/>
    </row>
    <row r="21" spans="1:8" ht="15.75">
      <c r="A21" s="96"/>
      <c r="B21" s="6" t="s">
        <v>33</v>
      </c>
      <c r="C21" s="6" t="s">
        <v>29</v>
      </c>
      <c r="D21" s="42">
        <v>1</v>
      </c>
      <c r="E21" s="20">
        <v>30</v>
      </c>
      <c r="F21" s="8">
        <f t="shared" si="1"/>
        <v>30</v>
      </c>
      <c r="G21" s="13"/>
    </row>
    <row r="22" spans="1:8" ht="15.75">
      <c r="A22" s="96"/>
      <c r="B22" s="6" t="s">
        <v>34</v>
      </c>
      <c r="C22" s="10" t="s">
        <v>29</v>
      </c>
      <c r="D22" s="11">
        <v>1</v>
      </c>
      <c r="E22" s="37">
        <v>146.76</v>
      </c>
      <c r="F22" s="8">
        <f t="shared" si="1"/>
        <v>146.76</v>
      </c>
      <c r="H22" s="53"/>
    </row>
    <row r="23" spans="1:8" ht="15.75">
      <c r="A23" s="96"/>
      <c r="B23" s="6" t="s">
        <v>35</v>
      </c>
      <c r="C23" s="10" t="s">
        <v>36</v>
      </c>
      <c r="D23" s="42">
        <v>3.71</v>
      </c>
      <c r="E23" s="38">
        <v>14.91</v>
      </c>
      <c r="F23" s="8">
        <f t="shared" si="1"/>
        <v>55.32</v>
      </c>
      <c r="G23" s="13"/>
    </row>
    <row r="24" spans="1:8" ht="15.75">
      <c r="A24" s="96"/>
      <c r="B24" s="6" t="s">
        <v>37</v>
      </c>
      <c r="C24" s="10" t="s">
        <v>38</v>
      </c>
      <c r="D24" s="8">
        <f>(F22+SUM(F9:F18,F23))*6/12</f>
        <v>292.31</v>
      </c>
      <c r="E24" s="39">
        <v>8.5000000000000006E-2</v>
      </c>
      <c r="F24" s="8">
        <f t="shared" si="1"/>
        <v>24.85</v>
      </c>
      <c r="G24" s="13"/>
    </row>
    <row r="25" spans="1:8" ht="16.5" thickBot="1">
      <c r="A25" s="97"/>
      <c r="B25" s="94" t="s">
        <v>39</v>
      </c>
      <c r="C25" s="94"/>
      <c r="D25" s="94"/>
      <c r="E25" s="94"/>
      <c r="F25" s="57">
        <f>SUM(F9:F24)</f>
        <v>794.47</v>
      </c>
      <c r="G25" s="13"/>
    </row>
    <row r="26" spans="1:8" s="70" customFormat="1" ht="17.25" thickTop="1" thickBot="1">
      <c r="A26" s="92" t="s">
        <v>40</v>
      </c>
      <c r="B26" s="92"/>
      <c r="C26" s="92"/>
      <c r="D26" s="92"/>
      <c r="E26" s="92"/>
      <c r="F26" s="49">
        <f>F8-F25</f>
        <v>51.799999999999955</v>
      </c>
      <c r="G26" s="13"/>
    </row>
    <row r="27" spans="1:8" ht="16.5" thickTop="1">
      <c r="A27" s="93" t="s">
        <v>2</v>
      </c>
      <c r="B27" s="6" t="s">
        <v>34</v>
      </c>
      <c r="C27" s="10" t="s">
        <v>29</v>
      </c>
      <c r="D27" s="11">
        <v>1</v>
      </c>
      <c r="E27" s="37">
        <v>249.48</v>
      </c>
      <c r="F27" s="8">
        <f>ROUND((D27*E27),2)</f>
        <v>249.48</v>
      </c>
      <c r="G27" s="9"/>
    </row>
    <row r="28" spans="1:8" ht="15.75">
      <c r="A28" s="93"/>
      <c r="B28" s="95" t="s">
        <v>49</v>
      </c>
      <c r="C28" s="95"/>
      <c r="D28" s="95"/>
      <c r="E28" s="95"/>
      <c r="F28" s="15">
        <f>F27</f>
        <v>249.48</v>
      </c>
      <c r="G28" s="16"/>
    </row>
    <row r="29" spans="1:8" ht="15.75">
      <c r="A29" s="93" t="s">
        <v>3</v>
      </c>
      <c r="B29" s="6" t="s">
        <v>42</v>
      </c>
      <c r="C29" s="10" t="s">
        <v>38</v>
      </c>
      <c r="D29" s="41">
        <f>F25</f>
        <v>794.47</v>
      </c>
      <c r="E29" s="39">
        <v>7.0000000000000007E-2</v>
      </c>
      <c r="F29" s="8">
        <f>ROUND((D29*E29),2)</f>
        <v>55.61</v>
      </c>
      <c r="G29" s="9"/>
    </row>
    <row r="30" spans="1:8" ht="15.75">
      <c r="A30" s="93"/>
      <c r="B30" s="95" t="s">
        <v>50</v>
      </c>
      <c r="C30" s="95"/>
      <c r="D30" s="95"/>
      <c r="E30" s="95"/>
      <c r="F30" s="15">
        <f>F29</f>
        <v>55.61</v>
      </c>
      <c r="G30" s="13"/>
    </row>
    <row r="31" spans="1:8" ht="16.5" thickBot="1">
      <c r="A31" s="94" t="s">
        <v>41</v>
      </c>
      <c r="B31" s="94"/>
      <c r="C31" s="94"/>
      <c r="D31" s="94"/>
      <c r="E31" s="94"/>
      <c r="F31" s="15">
        <f>SUM(F25+F28+F30)</f>
        <v>1099.56</v>
      </c>
      <c r="G31" s="16"/>
    </row>
    <row r="32" spans="1:8" ht="17.25" thickTop="1" thickBot="1">
      <c r="A32" s="92" t="s">
        <v>45</v>
      </c>
      <c r="B32" s="92"/>
      <c r="C32" s="92"/>
      <c r="D32" s="92"/>
      <c r="E32" s="92"/>
      <c r="F32" s="21">
        <f>F8-F31</f>
        <v>-253.28999999999996</v>
      </c>
      <c r="G32" s="13"/>
    </row>
    <row r="33" spans="1:8" ht="17.25" thickTop="1" thickBot="1">
      <c r="A33" s="1"/>
      <c r="B33" s="1"/>
      <c r="C33" s="1"/>
      <c r="D33" s="1"/>
      <c r="E33" s="2"/>
      <c r="F33" s="1"/>
      <c r="G33" s="1"/>
    </row>
    <row r="34" spans="1:8" ht="15.75">
      <c r="A34" s="22"/>
      <c r="B34" s="23"/>
      <c r="C34" s="23"/>
      <c r="D34" s="23"/>
      <c r="E34" s="24"/>
      <c r="F34" s="23"/>
      <c r="G34" s="25"/>
    </row>
    <row r="35" spans="1:8" ht="15.75">
      <c r="A35" s="26" t="s">
        <v>4</v>
      </c>
      <c r="B35" s="1"/>
      <c r="C35" s="6"/>
      <c r="D35" s="1"/>
      <c r="E35" s="27" t="s">
        <v>5</v>
      </c>
      <c r="F35" s="1"/>
      <c r="G35" s="28"/>
    </row>
    <row r="36" spans="1:8" ht="15.75">
      <c r="A36" s="29" t="s">
        <v>43</v>
      </c>
      <c r="B36" s="1"/>
      <c r="C36" s="30">
        <f>(F25-F20)/(E6+(E7*H7)-E20)</f>
        <v>834.45527015057576</v>
      </c>
      <c r="D36" s="10" t="s">
        <v>46</v>
      </c>
      <c r="E36" s="31" t="s">
        <v>43</v>
      </c>
      <c r="F36" s="1"/>
      <c r="G36" s="32">
        <f>(F25-F7)/D6</f>
        <v>0.73244444444444445</v>
      </c>
    </row>
    <row r="37" spans="1:8" ht="15.75">
      <c r="A37" s="29" t="s">
        <v>44</v>
      </c>
      <c r="B37" s="1"/>
      <c r="C37" s="30">
        <f>((F31-F20-F29)+((F25-F20)*E29))/(E6+(E7*H7)-E20-(E20*E29))</f>
        <v>1224.8177737881506</v>
      </c>
      <c r="D37" s="10" t="s">
        <v>46</v>
      </c>
      <c r="E37" s="31" t="s">
        <v>44</v>
      </c>
      <c r="F37" s="1"/>
      <c r="G37" s="32">
        <f>(F31-F7)/D6</f>
        <v>1.0714333333333332</v>
      </c>
    </row>
    <row r="38" spans="1:8" ht="16.5" thickBot="1">
      <c r="A38" s="33"/>
      <c r="B38" s="34"/>
      <c r="C38" s="40"/>
      <c r="D38" s="40"/>
      <c r="E38" s="35"/>
      <c r="F38" s="34"/>
      <c r="G38" s="36"/>
    </row>
    <row r="40" spans="1:8" ht="15.75">
      <c r="A40" s="6"/>
      <c r="B40" s="1"/>
      <c r="C40" s="1"/>
      <c r="D40" s="64"/>
      <c r="E40" s="37"/>
      <c r="F40" s="15"/>
      <c r="G40" s="16"/>
      <c r="H40" s="65"/>
    </row>
    <row r="41" spans="1:8" ht="15.75">
      <c r="A41" s="1"/>
      <c r="B41" s="1"/>
      <c r="C41" s="1"/>
      <c r="D41" s="64"/>
      <c r="E41" s="37"/>
      <c r="F41" s="66"/>
      <c r="G41" s="67"/>
    </row>
    <row r="42" spans="1:8" ht="15.75">
      <c r="A42" s="58"/>
      <c r="B42" s="1"/>
      <c r="C42" s="1"/>
      <c r="D42" s="64"/>
      <c r="E42" s="37"/>
      <c r="F42" s="66"/>
      <c r="G42" s="67"/>
    </row>
    <row r="43" spans="1:8" ht="15.75">
      <c r="A43" s="1"/>
      <c r="B43" s="6"/>
      <c r="C43" s="10"/>
      <c r="D43" s="41"/>
      <c r="E43" s="39"/>
      <c r="F43" s="8"/>
      <c r="G43" s="13"/>
    </row>
    <row r="44" spans="1:8" ht="15.75">
      <c r="A44" s="1"/>
      <c r="B44" s="1"/>
      <c r="C44" s="10"/>
      <c r="D44" s="66"/>
      <c r="E44" s="8"/>
      <c r="F44" s="68"/>
      <c r="G44" s="69"/>
    </row>
    <row r="45" spans="1:8" ht="15.75">
      <c r="A45" s="6"/>
      <c r="B45" s="1"/>
      <c r="C45" s="1"/>
      <c r="D45" s="66"/>
      <c r="E45" s="8"/>
      <c r="F45" s="15"/>
      <c r="G45" s="13"/>
    </row>
    <row r="46" spans="1:8" ht="15.75">
      <c r="A46" s="1"/>
      <c r="B46" s="1"/>
      <c r="C46" s="1"/>
      <c r="D46" s="66"/>
      <c r="E46" s="8"/>
      <c r="F46" s="66"/>
      <c r="G46" s="67"/>
    </row>
    <row r="47" spans="1:8" ht="15.75">
      <c r="A47" s="58"/>
      <c r="B47" s="1"/>
      <c r="C47" s="1"/>
      <c r="D47" s="66"/>
      <c r="E47" s="8"/>
      <c r="F47" s="15"/>
      <c r="G47" s="16"/>
    </row>
    <row r="48" spans="1:8" ht="15.75">
      <c r="A48" s="1"/>
      <c r="B48" s="1"/>
      <c r="C48" s="1"/>
      <c r="D48" s="66"/>
      <c r="E48" s="8"/>
      <c r="F48" s="8"/>
      <c r="G48" s="67"/>
    </row>
    <row r="49" spans="1:7" ht="15.75">
      <c r="A49" s="58"/>
      <c r="B49" s="61"/>
      <c r="C49" s="61"/>
      <c r="D49" s="68"/>
      <c r="E49" s="15"/>
      <c r="F49" s="15"/>
      <c r="G49" s="13"/>
    </row>
    <row r="50" spans="1:7" ht="15.75">
      <c r="A50" s="1"/>
      <c r="B50" s="1"/>
      <c r="C50" s="1"/>
      <c r="D50" s="1"/>
      <c r="E50" s="2"/>
      <c r="F50" s="1"/>
      <c r="G50" s="1"/>
    </row>
    <row r="51" spans="1:7" ht="15.75">
      <c r="A51" s="1"/>
      <c r="B51" s="1"/>
      <c r="C51" s="1"/>
      <c r="D51" s="1"/>
      <c r="E51" s="2"/>
      <c r="F51" s="1"/>
      <c r="G51" s="1"/>
    </row>
    <row r="52" spans="1:7" ht="15.75">
      <c r="A52" s="62"/>
      <c r="B52" s="1"/>
      <c r="C52" s="6"/>
      <c r="D52" s="1"/>
      <c r="E52" s="27"/>
      <c r="F52" s="1"/>
      <c r="G52" s="1"/>
    </row>
    <row r="53" spans="1:7" ht="15.75">
      <c r="A53" s="6"/>
      <c r="B53" s="1"/>
      <c r="C53" s="30"/>
      <c r="D53" s="10"/>
      <c r="E53" s="31"/>
      <c r="F53" s="1"/>
      <c r="G53" s="63"/>
    </row>
    <row r="54" spans="1:7" ht="15.75">
      <c r="A54" s="6"/>
      <c r="B54" s="1"/>
      <c r="C54" s="30"/>
      <c r="D54" s="10"/>
      <c r="E54" s="31"/>
      <c r="F54" s="1"/>
      <c r="G54" s="63"/>
    </row>
    <row r="55" spans="1:7" ht="15.75">
      <c r="A55" s="1"/>
      <c r="B55" s="1"/>
      <c r="E55" s="2"/>
      <c r="F55" s="1"/>
      <c r="G55" s="18"/>
    </row>
  </sheetData>
  <mergeCells count="11">
    <mergeCell ref="A6:A8"/>
    <mergeCell ref="B8:E8"/>
    <mergeCell ref="B25:E25"/>
    <mergeCell ref="A26:E26"/>
    <mergeCell ref="A27:A28"/>
    <mergeCell ref="B28:E28"/>
    <mergeCell ref="A29:A30"/>
    <mergeCell ref="B30:E30"/>
    <mergeCell ref="A31:E31"/>
    <mergeCell ref="A9:A25"/>
    <mergeCell ref="A32:E32"/>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5F65-FC84-4E5D-92CB-A2012B8E20AE}">
  <dimension ref="A1:AC39"/>
  <sheetViews>
    <sheetView workbookViewId="0">
      <selection sqref="A1:V1048576"/>
    </sheetView>
  </sheetViews>
  <sheetFormatPr defaultRowHeight="15"/>
  <cols>
    <col min="2" max="2" width="15.140625" customWidth="1"/>
    <col min="3" max="7" width="10" bestFit="1" customWidth="1"/>
    <col min="9" max="9" width="13.5703125" customWidth="1"/>
    <col min="10" max="14" width="10" bestFit="1" customWidth="1"/>
    <col min="15" max="15" width="10" customWidth="1"/>
    <col min="16" max="16" width="14.85546875" customWidth="1"/>
  </cols>
  <sheetData>
    <row r="1" spans="1:29" ht="15.75">
      <c r="A1" s="107" t="s">
        <v>72</v>
      </c>
    </row>
    <row r="2" spans="1:29" ht="15" customHeight="1">
      <c r="A2" s="108" t="s">
        <v>73</v>
      </c>
    </row>
    <row r="3" spans="1:29" ht="15" customHeight="1">
      <c r="A3" s="108" t="s">
        <v>74</v>
      </c>
      <c r="W3" s="103"/>
      <c r="X3" s="103"/>
      <c r="Y3" s="103"/>
      <c r="Z3" s="103"/>
      <c r="AA3" s="103"/>
      <c r="AB3" s="103"/>
    </row>
    <row r="4" spans="1:29">
      <c r="W4" s="103"/>
      <c r="X4" s="103"/>
      <c r="Y4" s="103"/>
      <c r="Z4" s="103"/>
      <c r="AA4" s="103"/>
      <c r="AB4" s="103"/>
    </row>
    <row r="5" spans="1:29">
      <c r="B5" s="109" t="s">
        <v>75</v>
      </c>
      <c r="C5" s="99" t="s">
        <v>76</v>
      </c>
      <c r="D5" s="99"/>
      <c r="E5" s="99"/>
      <c r="F5" s="99"/>
      <c r="G5" s="100"/>
      <c r="W5" s="103"/>
      <c r="X5" s="106"/>
      <c r="Y5" s="106"/>
      <c r="Z5" s="106"/>
      <c r="AA5" s="106"/>
      <c r="AB5" s="106"/>
    </row>
    <row r="6" spans="1:29">
      <c r="B6" s="110"/>
      <c r="C6" s="101"/>
      <c r="D6" s="101"/>
      <c r="E6" s="101"/>
      <c r="F6" s="101"/>
      <c r="G6" s="102"/>
      <c r="I6" s="109" t="s">
        <v>51</v>
      </c>
      <c r="J6" s="99" t="s">
        <v>52</v>
      </c>
      <c r="K6" s="99"/>
      <c r="L6" s="99"/>
      <c r="M6" s="99"/>
      <c r="N6" s="100"/>
      <c r="O6" s="88"/>
      <c r="P6" s="109" t="s">
        <v>53</v>
      </c>
      <c r="Q6" s="99" t="s">
        <v>54</v>
      </c>
      <c r="R6" s="99"/>
      <c r="S6" s="99"/>
      <c r="T6" s="99"/>
      <c r="U6" s="100"/>
      <c r="W6" s="103"/>
      <c r="X6" s="76"/>
      <c r="Y6" s="76"/>
      <c r="Z6" s="76"/>
      <c r="AA6" s="76"/>
      <c r="AB6" s="76"/>
    </row>
    <row r="7" spans="1:29">
      <c r="B7" s="110"/>
      <c r="C7" s="74"/>
      <c r="D7" s="74"/>
      <c r="E7" s="111">
        <v>9</v>
      </c>
      <c r="F7" s="74"/>
      <c r="G7" s="75"/>
      <c r="I7" s="110"/>
      <c r="J7" s="74"/>
      <c r="K7" s="74"/>
      <c r="L7" s="111">
        <v>1.9</v>
      </c>
      <c r="M7" s="74"/>
      <c r="N7" s="75"/>
      <c r="O7" s="112"/>
      <c r="P7" s="110"/>
      <c r="Q7" s="74"/>
      <c r="R7" s="74"/>
      <c r="S7" s="111">
        <v>12.95</v>
      </c>
      <c r="T7" s="74"/>
      <c r="U7" s="75"/>
      <c r="W7" s="103"/>
      <c r="X7" s="106"/>
      <c r="Y7" s="106"/>
      <c r="Z7" s="106"/>
      <c r="AA7" s="106"/>
      <c r="AB7" s="106"/>
    </row>
    <row r="8" spans="1:29">
      <c r="B8" s="110"/>
      <c r="C8" s="113" t="s">
        <v>55</v>
      </c>
      <c r="D8" s="104"/>
      <c r="E8" s="104"/>
      <c r="F8" s="104"/>
      <c r="G8" s="105"/>
      <c r="I8" s="110"/>
      <c r="J8" s="113" t="s">
        <v>55</v>
      </c>
      <c r="K8" s="104"/>
      <c r="L8" s="104"/>
      <c r="M8" s="104"/>
      <c r="N8" s="105"/>
      <c r="O8" s="114"/>
      <c r="P8" s="110"/>
      <c r="Q8" s="115" t="s">
        <v>55</v>
      </c>
      <c r="R8" s="104"/>
      <c r="S8" s="104"/>
      <c r="T8" s="104"/>
      <c r="U8" s="105"/>
      <c r="W8" s="76"/>
      <c r="X8" s="76"/>
      <c r="Y8" s="76"/>
      <c r="Z8" s="76"/>
      <c r="AA8" s="76"/>
      <c r="AB8" s="76"/>
    </row>
    <row r="9" spans="1:29">
      <c r="B9" s="110"/>
      <c r="C9" s="116">
        <f>ROUND(E9*0.75,0)</f>
        <v>2400</v>
      </c>
      <c r="D9" s="116">
        <f>ROUND(E9*0.885,0)</f>
        <v>2832</v>
      </c>
      <c r="E9" s="117">
        <v>3200</v>
      </c>
      <c r="F9" s="116">
        <f>ROUND(E9*1.125,0)</f>
        <v>3600</v>
      </c>
      <c r="G9" s="118">
        <f>ROUND(E9*1.25,0)</f>
        <v>4000</v>
      </c>
      <c r="I9" s="110"/>
      <c r="J9" s="116">
        <f>ROUND(L9*0.75,0)</f>
        <v>3750</v>
      </c>
      <c r="K9" s="116">
        <f>ROUND(L9*0.885,0)</f>
        <v>4425</v>
      </c>
      <c r="L9" s="117">
        <v>5000</v>
      </c>
      <c r="M9" s="116">
        <f>ROUND(L9*1.125,0)</f>
        <v>5625</v>
      </c>
      <c r="N9" s="118">
        <f>ROUND(L9*1.25,0)</f>
        <v>6250</v>
      </c>
      <c r="O9" s="119"/>
      <c r="P9" s="110"/>
      <c r="Q9" s="120">
        <f>ROUND(S9*0.75,0)</f>
        <v>450</v>
      </c>
      <c r="R9" s="116">
        <f>ROUND(S9*0.885,0)</f>
        <v>531</v>
      </c>
      <c r="S9" s="117">
        <v>600</v>
      </c>
      <c r="T9" s="116">
        <f>ROUND(S9*1.125,0)</f>
        <v>675</v>
      </c>
      <c r="U9" s="118">
        <f>ROUND(S9*1.25,0)</f>
        <v>750</v>
      </c>
      <c r="W9" s="76"/>
      <c r="X9" s="76"/>
      <c r="Y9" s="76"/>
      <c r="Z9" s="76"/>
      <c r="AA9" s="76"/>
      <c r="AB9" s="76"/>
    </row>
    <row r="10" spans="1:29">
      <c r="B10" s="121"/>
      <c r="C10" s="115" t="s">
        <v>56</v>
      </c>
      <c r="D10" s="104"/>
      <c r="E10" s="104"/>
      <c r="F10" s="104"/>
      <c r="G10" s="105"/>
      <c r="I10" s="121"/>
      <c r="J10" s="115" t="s">
        <v>56</v>
      </c>
      <c r="K10" s="104"/>
      <c r="L10" s="104"/>
      <c r="M10" s="104"/>
      <c r="N10" s="105"/>
      <c r="O10" s="114"/>
      <c r="P10" s="121"/>
      <c r="Q10" s="115" t="s">
        <v>57</v>
      </c>
      <c r="R10" s="104"/>
      <c r="S10" s="104"/>
      <c r="T10" s="104"/>
      <c r="U10" s="105"/>
      <c r="W10" s="76"/>
      <c r="X10" s="76"/>
      <c r="Y10" s="76"/>
      <c r="Z10" s="76"/>
      <c r="AA10" s="76"/>
      <c r="AB10" s="76"/>
    </row>
    <row r="11" spans="1:29">
      <c r="B11" s="122">
        <f>ROUND(B13*0.7,0)</f>
        <v>266</v>
      </c>
      <c r="C11" s="77">
        <f>(B11*E7)-$C$9</f>
        <v>-6</v>
      </c>
      <c r="D11" s="78">
        <f>(B11*E7)-$D$9</f>
        <v>-438</v>
      </c>
      <c r="E11" s="78">
        <f>(B11*E7)-$E$9</f>
        <v>-806</v>
      </c>
      <c r="F11" s="78">
        <f>(B11*E7)-$F$9</f>
        <v>-1206</v>
      </c>
      <c r="G11" s="79">
        <f>(B11*E7)-$G$9</f>
        <v>-1606</v>
      </c>
      <c r="I11" s="122">
        <f>ROUND(I13*0.7,0)</f>
        <v>1680</v>
      </c>
      <c r="J11" s="77">
        <f>(I11*L7)-$J$9</f>
        <v>-558</v>
      </c>
      <c r="K11" s="78">
        <f>(I11*L7)-$K$9</f>
        <v>-1233</v>
      </c>
      <c r="L11" s="78">
        <f>(I11*L7)-$L$9</f>
        <v>-1808</v>
      </c>
      <c r="M11" s="78">
        <f>(I11*L7)-$M$9</f>
        <v>-2433</v>
      </c>
      <c r="N11" s="79">
        <f>(I11*L7)-$N$9</f>
        <v>-3058</v>
      </c>
      <c r="O11" s="82"/>
      <c r="P11" s="122">
        <f>ROUND(P13*0.7,0)</f>
        <v>35</v>
      </c>
      <c r="Q11" s="77">
        <f>(P11*S7)-$Q$9</f>
        <v>3.25</v>
      </c>
      <c r="R11" s="78">
        <f>(P11*S7)-$R$9</f>
        <v>-77.75</v>
      </c>
      <c r="S11" s="78">
        <f>(P11*S7)-$S$9</f>
        <v>-146.75</v>
      </c>
      <c r="T11" s="78">
        <f>(P11*S7)-$T$9</f>
        <v>-221.75</v>
      </c>
      <c r="U11" s="79">
        <f>(P11*S7)-$U$9</f>
        <v>-296.75</v>
      </c>
      <c r="W11" s="76"/>
      <c r="X11" s="76"/>
      <c r="Y11" s="76"/>
      <c r="Z11" s="76"/>
      <c r="AA11" s="76"/>
      <c r="AB11" s="76"/>
    </row>
    <row r="12" spans="1:29">
      <c r="B12" s="123">
        <f>ROUND(B13*0.85,0)</f>
        <v>323</v>
      </c>
      <c r="C12" s="80">
        <f>(B12*E7)-$C$9</f>
        <v>507</v>
      </c>
      <c r="D12" s="81">
        <f>(B12*E7)-$D$9</f>
        <v>75</v>
      </c>
      <c r="E12" s="81">
        <f>(B12*E7)-$E$9</f>
        <v>-293</v>
      </c>
      <c r="F12" s="81">
        <f>(B12*E7)-$F$9</f>
        <v>-693</v>
      </c>
      <c r="G12" s="82">
        <f>(B12*E7)-$G$9</f>
        <v>-1093</v>
      </c>
      <c r="I12" s="123">
        <f>ROUND(I13*0.85,0)</f>
        <v>2040</v>
      </c>
      <c r="J12" s="80">
        <f>(I12*L7)-$J$9</f>
        <v>126</v>
      </c>
      <c r="K12" s="81">
        <f>(I12*L7)-$K$9</f>
        <v>-549</v>
      </c>
      <c r="L12" s="81">
        <f>(I12*L7)-$L$9</f>
        <v>-1124</v>
      </c>
      <c r="M12" s="81">
        <f>(I12*L7)-$M$9</f>
        <v>-1749</v>
      </c>
      <c r="N12" s="82">
        <f>(I12*L7)-$N$9</f>
        <v>-2374</v>
      </c>
      <c r="O12" s="82"/>
      <c r="P12" s="123">
        <f>ROUND(P13*0.85,0)</f>
        <v>43</v>
      </c>
      <c r="Q12" s="80">
        <f>(P12*S7)-$Q$9</f>
        <v>106.85000000000002</v>
      </c>
      <c r="R12" s="81">
        <f>(P12*S7)-$R$9</f>
        <v>25.850000000000023</v>
      </c>
      <c r="S12" s="81">
        <f>(P12*S7)-$S$9</f>
        <v>-43.149999999999977</v>
      </c>
      <c r="T12" s="81">
        <f>(P12*S7)-$T$9</f>
        <v>-118.14999999999998</v>
      </c>
      <c r="U12" s="82">
        <f>(P12*S7)-$U$9</f>
        <v>-193.14999999999998</v>
      </c>
      <c r="W12" s="76"/>
      <c r="X12" s="76"/>
      <c r="Y12" s="76"/>
      <c r="Z12" s="76"/>
      <c r="AA12" s="76"/>
      <c r="AB12" s="76"/>
    </row>
    <row r="13" spans="1:29">
      <c r="B13" s="124">
        <v>380</v>
      </c>
      <c r="C13" s="80">
        <f>(B13*E7)-$C$9</f>
        <v>1020</v>
      </c>
      <c r="D13" s="81">
        <f>(B13*E7)-$D$9</f>
        <v>588</v>
      </c>
      <c r="E13" s="81">
        <f>(B13*E7)-$E$9</f>
        <v>220</v>
      </c>
      <c r="F13" s="81">
        <f>(B13*E7)-$F$9</f>
        <v>-180</v>
      </c>
      <c r="G13" s="82">
        <f>(B13*E7)-$G$9</f>
        <v>-580</v>
      </c>
      <c r="I13" s="124">
        <v>2400</v>
      </c>
      <c r="J13" s="80">
        <f>(I13*L7)-$J$9</f>
        <v>810</v>
      </c>
      <c r="K13" s="81">
        <f>(I13*L7)-$K$9</f>
        <v>135</v>
      </c>
      <c r="L13" s="81">
        <f>(I13*L7)-$L$9</f>
        <v>-440</v>
      </c>
      <c r="M13" s="81">
        <f>(I13*L7)-$M$9</f>
        <v>-1065</v>
      </c>
      <c r="N13" s="82">
        <f>(I13*L7)-$N$9</f>
        <v>-1690</v>
      </c>
      <c r="O13" s="82"/>
      <c r="P13" s="124">
        <v>50</v>
      </c>
      <c r="Q13" s="80">
        <f>(P13*S7)-$Q$9</f>
        <v>197.5</v>
      </c>
      <c r="R13" s="81">
        <f>(P13*S7)-$R$9</f>
        <v>116.5</v>
      </c>
      <c r="S13" s="81">
        <f>(P13*S7)-$S$9</f>
        <v>47.5</v>
      </c>
      <c r="T13" s="81">
        <f>(P13*S7)-$T$9</f>
        <v>-27.5</v>
      </c>
      <c r="U13" s="82">
        <f>(P13*S7)-$U$9</f>
        <v>-102.5</v>
      </c>
    </row>
    <row r="14" spans="1:29">
      <c r="B14" s="123">
        <f>ROUND(B13*1.15,0)</f>
        <v>437</v>
      </c>
      <c r="C14" s="80">
        <f>(B14*E7)-$C$9</f>
        <v>1533</v>
      </c>
      <c r="D14" s="81">
        <f>(B14*E7)-$D$9</f>
        <v>1101</v>
      </c>
      <c r="E14" s="81">
        <f>(B14*E7)-$E$9</f>
        <v>733</v>
      </c>
      <c r="F14" s="81">
        <f>(B14*E7)-$F$9</f>
        <v>333</v>
      </c>
      <c r="G14" s="82">
        <f>(B14*E7)-$G$9</f>
        <v>-67</v>
      </c>
      <c r="I14" s="123">
        <f>ROUND(I13*1.15,0)</f>
        <v>2760</v>
      </c>
      <c r="J14" s="80">
        <f>(I14*L7)-$J$9</f>
        <v>1494</v>
      </c>
      <c r="K14" s="81">
        <f>(I14*L7)-$K$9</f>
        <v>819</v>
      </c>
      <c r="L14" s="81">
        <f>(I14*L7)-$L$9</f>
        <v>244</v>
      </c>
      <c r="M14" s="81">
        <f>(I14*L7)-$M$9</f>
        <v>-381</v>
      </c>
      <c r="N14" s="82">
        <f>(I14*L7)-$N$9</f>
        <v>-1006</v>
      </c>
      <c r="O14" s="82"/>
      <c r="P14" s="123">
        <f>ROUND(P13*1.15,0)</f>
        <v>58</v>
      </c>
      <c r="Q14" s="80">
        <f>(P14*S7)-$Q$9</f>
        <v>301.09999999999991</v>
      </c>
      <c r="R14" s="81">
        <f>(P14*S7)-$R$9</f>
        <v>220.09999999999991</v>
      </c>
      <c r="S14" s="81">
        <f>(P14*S7)-$S$9</f>
        <v>151.09999999999991</v>
      </c>
      <c r="T14" s="81">
        <f>(P14*S7)-$T$9</f>
        <v>76.099999999999909</v>
      </c>
      <c r="U14" s="82">
        <f>(P14*S7)-$U$9</f>
        <v>1.0999999999999091</v>
      </c>
    </row>
    <row r="15" spans="1:29" ht="15" customHeight="1">
      <c r="B15" s="125">
        <f>ROUND(B13*1.3,0)</f>
        <v>494</v>
      </c>
      <c r="C15" s="83">
        <f>(B15*E7)-$C$9</f>
        <v>2046</v>
      </c>
      <c r="D15" s="84">
        <f>(B15*E7)-$D$9</f>
        <v>1614</v>
      </c>
      <c r="E15" s="84">
        <f>(B15*E7)-$E$9</f>
        <v>1246</v>
      </c>
      <c r="F15" s="84">
        <f>(B15*E7)-$F$9</f>
        <v>846</v>
      </c>
      <c r="G15" s="85">
        <f>(B15*E7)-$G$9</f>
        <v>446</v>
      </c>
      <c r="I15" s="125">
        <f>ROUND(I13*1.3,0)</f>
        <v>3120</v>
      </c>
      <c r="J15" s="83">
        <f>(I15*L7)-$J$9</f>
        <v>2178</v>
      </c>
      <c r="K15" s="84">
        <f>(I15*L7)-$K$9</f>
        <v>1503</v>
      </c>
      <c r="L15" s="84">
        <f>(I15*L7)-$L$9</f>
        <v>928</v>
      </c>
      <c r="M15" s="84">
        <f>(I15*L7)-$M$9</f>
        <v>303</v>
      </c>
      <c r="N15" s="85">
        <f>(I15*L7)-$N$9</f>
        <v>-322</v>
      </c>
      <c r="O15" s="82"/>
      <c r="P15" s="125">
        <f>ROUND(P13*1.3,0)</f>
        <v>65</v>
      </c>
      <c r="Q15" s="83">
        <f>(P15*S7)-$Q$9</f>
        <v>391.75</v>
      </c>
      <c r="R15" s="84">
        <f>(P15*S7)-$R$9</f>
        <v>310.75</v>
      </c>
      <c r="S15" s="84">
        <f>(P15*S7)-$S$9</f>
        <v>241.75</v>
      </c>
      <c r="T15" s="84">
        <f>(P15*S7)-$T$9</f>
        <v>166.75</v>
      </c>
      <c r="U15" s="85">
        <f>(P15*S7)-$U$9</f>
        <v>91.75</v>
      </c>
      <c r="W15" s="103"/>
      <c r="X15" s="103"/>
      <c r="Y15" s="103"/>
      <c r="Z15" s="103"/>
      <c r="AA15" s="103"/>
      <c r="AB15" s="103"/>
      <c r="AC15" s="103"/>
    </row>
    <row r="16" spans="1:29">
      <c r="P16" s="86"/>
      <c r="Q16" s="86"/>
      <c r="R16" s="86"/>
      <c r="S16" s="86"/>
      <c r="T16" s="86"/>
      <c r="U16" s="86"/>
      <c r="W16" s="103"/>
      <c r="X16" s="103"/>
      <c r="Y16" s="103"/>
      <c r="Z16" s="103"/>
      <c r="AA16" s="103"/>
      <c r="AB16" s="103"/>
      <c r="AC16" s="103"/>
    </row>
    <row r="17" spans="2:29">
      <c r="W17" s="103"/>
      <c r="X17" s="106"/>
      <c r="Y17" s="106"/>
      <c r="Z17" s="106"/>
      <c r="AA17" s="106"/>
      <c r="AB17" s="106"/>
      <c r="AC17" s="106"/>
    </row>
    <row r="18" spans="2:29">
      <c r="B18" s="109" t="s">
        <v>58</v>
      </c>
      <c r="C18" s="99" t="s">
        <v>59</v>
      </c>
      <c r="D18" s="99"/>
      <c r="E18" s="99"/>
      <c r="F18" s="99"/>
      <c r="G18" s="100"/>
      <c r="I18" s="109" t="s">
        <v>60</v>
      </c>
      <c r="J18" s="99" t="s">
        <v>61</v>
      </c>
      <c r="K18" s="99"/>
      <c r="L18" s="99"/>
      <c r="M18" s="99"/>
      <c r="N18" s="100"/>
      <c r="O18" s="88"/>
      <c r="P18" s="109" t="s">
        <v>62</v>
      </c>
      <c r="Q18" s="99" t="s">
        <v>59</v>
      </c>
      <c r="R18" s="99"/>
      <c r="S18" s="99"/>
      <c r="T18" s="99"/>
      <c r="U18" s="100"/>
      <c r="W18" s="103"/>
      <c r="X18" s="76"/>
      <c r="Y18" s="76"/>
      <c r="Z18" s="76"/>
      <c r="AA18" s="76"/>
      <c r="AB18" s="76"/>
      <c r="AC18" s="76"/>
    </row>
    <row r="19" spans="2:29">
      <c r="B19" s="110"/>
      <c r="C19" s="74"/>
      <c r="D19" s="74"/>
      <c r="E19" s="111">
        <v>5.95</v>
      </c>
      <c r="F19" s="74"/>
      <c r="G19" s="75"/>
      <c r="I19" s="110"/>
      <c r="J19" s="74"/>
      <c r="K19" s="74"/>
      <c r="L19" s="111">
        <v>0.79</v>
      </c>
      <c r="M19" s="74"/>
      <c r="N19" s="75"/>
      <c r="O19" s="112"/>
      <c r="P19" s="110"/>
      <c r="Q19" s="74"/>
      <c r="R19" s="74"/>
      <c r="S19" s="111">
        <v>5.95</v>
      </c>
      <c r="T19" s="74"/>
      <c r="U19" s="75"/>
      <c r="W19" s="103"/>
      <c r="X19" s="106"/>
      <c r="Y19" s="106"/>
      <c r="Z19" s="106"/>
      <c r="AA19" s="106"/>
      <c r="AB19" s="106"/>
      <c r="AC19" s="106"/>
    </row>
    <row r="20" spans="2:29">
      <c r="B20" s="110"/>
      <c r="C20" s="113" t="s">
        <v>55</v>
      </c>
      <c r="D20" s="104"/>
      <c r="E20" s="104"/>
      <c r="F20" s="104"/>
      <c r="G20" s="105"/>
      <c r="I20" s="110"/>
      <c r="J20" s="115" t="s">
        <v>55</v>
      </c>
      <c r="K20" s="104"/>
      <c r="L20" s="104"/>
      <c r="M20" s="104"/>
      <c r="N20" s="105"/>
      <c r="O20" s="114"/>
      <c r="P20" s="110"/>
      <c r="Q20" s="126" t="s">
        <v>55</v>
      </c>
      <c r="R20" s="106"/>
      <c r="S20" s="106"/>
      <c r="T20" s="106"/>
      <c r="U20" s="106"/>
      <c r="W20" s="76"/>
      <c r="X20" s="87"/>
      <c r="Y20" s="87"/>
      <c r="Z20" s="87"/>
      <c r="AA20" s="87"/>
      <c r="AB20" s="87"/>
      <c r="AC20" s="87"/>
    </row>
    <row r="21" spans="2:29">
      <c r="B21" s="110"/>
      <c r="C21" s="120">
        <f>ROUND(E21*0.75,0)</f>
        <v>413</v>
      </c>
      <c r="D21" s="116">
        <f>ROUND(E21*0.885,0)</f>
        <v>487</v>
      </c>
      <c r="E21" s="117">
        <v>550</v>
      </c>
      <c r="F21" s="116">
        <f>ROUND(E21*1.125,0)</f>
        <v>619</v>
      </c>
      <c r="G21" s="118">
        <f>ROUND(E21*1.25,0)</f>
        <v>688</v>
      </c>
      <c r="I21" s="110"/>
      <c r="J21" s="120">
        <f>ROUND(L21*0.75,0)</f>
        <v>788</v>
      </c>
      <c r="K21" s="116">
        <f>ROUND(L21*0.885,0)</f>
        <v>929</v>
      </c>
      <c r="L21" s="117">
        <v>1050</v>
      </c>
      <c r="M21" s="116">
        <f>ROUND(L21*1.125,0)</f>
        <v>1181</v>
      </c>
      <c r="N21" s="118">
        <f>ROUND(L21*1.25,0)</f>
        <v>1313</v>
      </c>
      <c r="O21" s="119"/>
      <c r="P21" s="110"/>
      <c r="Q21" s="116">
        <f>ROUND(S21*0.75,0)</f>
        <v>713</v>
      </c>
      <c r="R21" s="116">
        <f>ROUND(S21*0.885,0)</f>
        <v>841</v>
      </c>
      <c r="S21" s="117">
        <v>950</v>
      </c>
      <c r="T21" s="116">
        <f>ROUND(S21*1.125,0)</f>
        <v>1069</v>
      </c>
      <c r="U21" s="118">
        <f>ROUND(S21*1.25,0)</f>
        <v>1188</v>
      </c>
      <c r="W21" s="76"/>
      <c r="X21" s="87"/>
      <c r="Y21" s="87"/>
      <c r="Z21" s="87"/>
      <c r="AA21" s="87"/>
      <c r="AB21" s="87"/>
      <c r="AC21" s="87"/>
    </row>
    <row r="22" spans="2:29">
      <c r="B22" s="121"/>
      <c r="C22" s="115" t="s">
        <v>56</v>
      </c>
      <c r="D22" s="104"/>
      <c r="E22" s="104"/>
      <c r="F22" s="104"/>
      <c r="G22" s="105"/>
      <c r="I22" s="121"/>
      <c r="J22" s="115" t="s">
        <v>56</v>
      </c>
      <c r="K22" s="104"/>
      <c r="L22" s="104"/>
      <c r="M22" s="104"/>
      <c r="N22" s="105"/>
      <c r="O22" s="114"/>
      <c r="P22" s="121"/>
      <c r="Q22" s="115" t="s">
        <v>56</v>
      </c>
      <c r="R22" s="104"/>
      <c r="S22" s="104"/>
      <c r="T22" s="104"/>
      <c r="U22" s="105"/>
      <c r="W22" s="76"/>
      <c r="X22" s="87"/>
      <c r="Y22" s="87"/>
      <c r="Z22" s="87"/>
      <c r="AA22" s="87"/>
      <c r="AB22" s="87"/>
      <c r="AC22" s="87"/>
    </row>
    <row r="23" spans="2:29">
      <c r="B23" s="122">
        <f>ROUND(B25*0.7,0)</f>
        <v>70</v>
      </c>
      <c r="C23" s="77">
        <f>(B23*E19)-$C$21</f>
        <v>3.5</v>
      </c>
      <c r="D23" s="78">
        <f>(B23*E19)-$D$21</f>
        <v>-70.5</v>
      </c>
      <c r="E23" s="78">
        <f>(B23*E19)-$E$21</f>
        <v>-133.5</v>
      </c>
      <c r="F23" s="78">
        <f>(B23*E19)-$F$21</f>
        <v>-202.5</v>
      </c>
      <c r="G23" s="79">
        <f>(B23*E19)-$G$21</f>
        <v>-271.5</v>
      </c>
      <c r="I23" s="122">
        <f>ROUND(I25*0.7,0)</f>
        <v>770</v>
      </c>
      <c r="J23" s="77">
        <f>(I23*L19)-$J$21</f>
        <v>-179.69999999999993</v>
      </c>
      <c r="K23" s="78">
        <f>(I23*L19)-$K$21</f>
        <v>-320.69999999999993</v>
      </c>
      <c r="L23" s="78">
        <f>(I23*L19)-$L$21</f>
        <v>-441.69999999999993</v>
      </c>
      <c r="M23" s="78">
        <f>(I23*L19)-$M$21</f>
        <v>-572.69999999999993</v>
      </c>
      <c r="N23" s="79">
        <f>(I23*L19)-$N$21</f>
        <v>-704.69999999999993</v>
      </c>
      <c r="O23" s="82"/>
      <c r="P23" s="122">
        <f>ROUND(P25*0.7,0)</f>
        <v>123</v>
      </c>
      <c r="Q23" s="77">
        <f>(P23*S19)-$Q$21</f>
        <v>18.850000000000023</v>
      </c>
      <c r="R23" s="78">
        <f>(P23*S19)-$R$21</f>
        <v>-109.14999999999998</v>
      </c>
      <c r="S23" s="78">
        <f>(P23*S19)-$S$21</f>
        <v>-218.14999999999998</v>
      </c>
      <c r="T23" s="78">
        <f>(P23*S19)-$T$21</f>
        <v>-337.15</v>
      </c>
      <c r="U23" s="79">
        <f>(P23*S19)-$U$21</f>
        <v>-456.15</v>
      </c>
      <c r="W23" s="76"/>
      <c r="X23" s="87"/>
      <c r="Y23" s="87"/>
      <c r="Z23" s="87"/>
      <c r="AA23" s="87"/>
      <c r="AB23" s="87"/>
      <c r="AC23" s="87"/>
    </row>
    <row r="24" spans="2:29">
      <c r="B24" s="123">
        <f>ROUND(B25*0.85,0)</f>
        <v>85</v>
      </c>
      <c r="C24" s="80">
        <f>(B24*E19)-$C$21</f>
        <v>92.75</v>
      </c>
      <c r="D24" s="81">
        <f>(B24*E19)-$D$21</f>
        <v>18.75</v>
      </c>
      <c r="E24" s="81">
        <f>(B24*E19)-$E$21</f>
        <v>-44.25</v>
      </c>
      <c r="F24" s="81">
        <f>(B24*E19)-$F$21</f>
        <v>-113.25</v>
      </c>
      <c r="G24" s="82">
        <f>(B24*E19)-$G$21</f>
        <v>-182.25</v>
      </c>
      <c r="I24" s="123">
        <f>ROUND(I25*0.85,0)</f>
        <v>935</v>
      </c>
      <c r="J24" s="80">
        <f>(I24*L19)-$J$21</f>
        <v>-49.350000000000023</v>
      </c>
      <c r="K24" s="81">
        <f>(I24*L19)-$K$21</f>
        <v>-190.35000000000002</v>
      </c>
      <c r="L24" s="81">
        <f>(I24*L19)-$L$21</f>
        <v>-311.35000000000002</v>
      </c>
      <c r="M24" s="81">
        <f>(I24*L19)-$M$21</f>
        <v>-442.35</v>
      </c>
      <c r="N24" s="82">
        <f>(I24*L19)-$N$21</f>
        <v>-574.35</v>
      </c>
      <c r="O24" s="82"/>
      <c r="P24" s="123">
        <f>ROUND(P25*0.85,0)</f>
        <v>149</v>
      </c>
      <c r="Q24" s="80">
        <f>(P24*S19)-$Q$21</f>
        <v>173.55000000000007</v>
      </c>
      <c r="R24" s="81">
        <f>(P24*S19)-$R$21</f>
        <v>45.550000000000068</v>
      </c>
      <c r="S24" s="81">
        <f>(P24*S19)-$S$21</f>
        <v>-63.449999999999932</v>
      </c>
      <c r="T24" s="81">
        <f>(P24*S19)-$T$21</f>
        <v>-182.44999999999993</v>
      </c>
      <c r="U24" s="82">
        <f>(P24*S19)-$U$21</f>
        <v>-301.44999999999993</v>
      </c>
      <c r="W24" s="76"/>
      <c r="X24" s="87"/>
      <c r="Y24" s="87"/>
      <c r="Z24" s="87"/>
      <c r="AA24" s="87"/>
      <c r="AB24" s="87"/>
      <c r="AC24" s="87"/>
    </row>
    <row r="25" spans="2:29">
      <c r="B25" s="124">
        <v>100</v>
      </c>
      <c r="C25" s="80">
        <f>(B25*E19)-$C$21</f>
        <v>182</v>
      </c>
      <c r="D25" s="81">
        <f>(B25*E19)-$D$21</f>
        <v>108</v>
      </c>
      <c r="E25" s="81">
        <f>(B25*E19)-$E$21</f>
        <v>45</v>
      </c>
      <c r="F25" s="81">
        <f>(B25*E19)-$F$21</f>
        <v>-24</v>
      </c>
      <c r="G25" s="82">
        <f>(B25*E19)-$G$21</f>
        <v>-93</v>
      </c>
      <c r="I25" s="124">
        <v>1100</v>
      </c>
      <c r="J25" s="80">
        <f>(I25*L19)-$J$21</f>
        <v>81</v>
      </c>
      <c r="K25" s="81">
        <f>(I25*L19)-$K$21</f>
        <v>-60</v>
      </c>
      <c r="L25" s="81">
        <f>(I25*L19)-$L$21</f>
        <v>-181</v>
      </c>
      <c r="M25" s="81">
        <f>(I25*L19)-$M$21</f>
        <v>-312</v>
      </c>
      <c r="N25" s="82">
        <f>(I25*L19)-$N$21</f>
        <v>-444</v>
      </c>
      <c r="O25" s="82"/>
      <c r="P25" s="124">
        <v>175</v>
      </c>
      <c r="Q25" s="80">
        <f>(P25*S19)-$Q$21</f>
        <v>328.25</v>
      </c>
      <c r="R25" s="81">
        <f>(P25*S19)-$R$21</f>
        <v>200.25</v>
      </c>
      <c r="S25" s="81">
        <f>(P25*S19)-$S$21</f>
        <v>91.25</v>
      </c>
      <c r="T25" s="81">
        <f>(P25*S19)-$T$21</f>
        <v>-27.75</v>
      </c>
      <c r="U25" s="82">
        <f>(P25*S19)-$U$21</f>
        <v>-146.75</v>
      </c>
    </row>
    <row r="26" spans="2:29">
      <c r="B26" s="123">
        <f>ROUND(B25*1.15,0)</f>
        <v>115</v>
      </c>
      <c r="C26" s="80">
        <f>(B26*E19)-$C$21</f>
        <v>271.25</v>
      </c>
      <c r="D26" s="81">
        <f>(B26*E19)-$D$21</f>
        <v>197.25</v>
      </c>
      <c r="E26" s="81">
        <f>(B26*E19)-$E$21</f>
        <v>134.25</v>
      </c>
      <c r="F26" s="81">
        <f>(B26*E19)-$F$21</f>
        <v>65.25</v>
      </c>
      <c r="G26" s="82">
        <f>(B26*E19)-$G$21</f>
        <v>-3.75</v>
      </c>
      <c r="I26" s="123">
        <f>ROUND(I25*1.15,0)</f>
        <v>1265</v>
      </c>
      <c r="J26" s="80">
        <f>(I26*L19)-$J$21</f>
        <v>211.35000000000002</v>
      </c>
      <c r="K26" s="81">
        <f>(I26*L19)-$K$21</f>
        <v>70.350000000000023</v>
      </c>
      <c r="L26" s="81">
        <f>(I26*L19)-$L$21</f>
        <v>-50.649999999999977</v>
      </c>
      <c r="M26" s="81">
        <f>(I26*L19)-$M$21</f>
        <v>-181.64999999999998</v>
      </c>
      <c r="N26" s="82">
        <f>(I26*L19)-$N$21</f>
        <v>-313.64999999999998</v>
      </c>
      <c r="O26" s="82"/>
      <c r="P26" s="123">
        <f>ROUND(P25*1.15,0)</f>
        <v>201</v>
      </c>
      <c r="Q26" s="80">
        <f>(P26*S19)-$Q$21</f>
        <v>482.95000000000005</v>
      </c>
      <c r="R26" s="81">
        <f>(P26*S19)-$R$21</f>
        <v>354.95000000000005</v>
      </c>
      <c r="S26" s="81">
        <f>(P26*S19)-$S$21</f>
        <v>245.95000000000005</v>
      </c>
      <c r="T26" s="81">
        <f>(P26*S19)-$T$21</f>
        <v>126.95000000000005</v>
      </c>
      <c r="U26" s="82">
        <f>(P26*S19)-$U$21</f>
        <v>7.9500000000000455</v>
      </c>
    </row>
    <row r="27" spans="2:29" ht="15" customHeight="1">
      <c r="B27" s="125">
        <f>ROUND(B25*1.3,0)</f>
        <v>130</v>
      </c>
      <c r="C27" s="83">
        <f>(B27*E19)-$C$21</f>
        <v>360.5</v>
      </c>
      <c r="D27" s="84">
        <f>(B27*E19)-$D$21</f>
        <v>286.5</v>
      </c>
      <c r="E27" s="84">
        <f>(B27*E19)-$E$21</f>
        <v>223.5</v>
      </c>
      <c r="F27" s="84">
        <f>(B27*E19)-$F$21</f>
        <v>154.5</v>
      </c>
      <c r="G27" s="85">
        <f>(B27*E19)-$G$21</f>
        <v>85.5</v>
      </c>
      <c r="I27" s="125">
        <f>ROUND(I25*1.3,0)</f>
        <v>1430</v>
      </c>
      <c r="J27" s="83">
        <f>(I27*L19)-$J$21</f>
        <v>341.70000000000005</v>
      </c>
      <c r="K27" s="84">
        <f>(I27*L19)-$K$21</f>
        <v>200.70000000000005</v>
      </c>
      <c r="L27" s="84">
        <f>(I27*L19)-$L$21</f>
        <v>79.700000000000045</v>
      </c>
      <c r="M27" s="84">
        <f>(I27*L19)-$M$21</f>
        <v>-51.299999999999955</v>
      </c>
      <c r="N27" s="85">
        <f>(I27*L19)-$N$21</f>
        <v>-183.29999999999995</v>
      </c>
      <c r="O27" s="82"/>
      <c r="P27" s="125">
        <f>ROUND(P25*1.3,0)</f>
        <v>228</v>
      </c>
      <c r="Q27" s="83">
        <f>(P27*$S$19)-$Q$21</f>
        <v>643.60000000000014</v>
      </c>
      <c r="R27" s="84">
        <f>(P27*$S$19)-$R$21</f>
        <v>515.60000000000014</v>
      </c>
      <c r="S27" s="84">
        <f>(P27*$S$19)-$S$21</f>
        <v>406.60000000000014</v>
      </c>
      <c r="T27" s="84">
        <f>(P27*$S$19)-$T$21</f>
        <v>287.60000000000014</v>
      </c>
      <c r="U27" s="85">
        <f>(P27*$S$19)-$U$21</f>
        <v>168.60000000000014</v>
      </c>
    </row>
    <row r="30" spans="2:29">
      <c r="B30" s="109" t="s">
        <v>63</v>
      </c>
      <c r="C30" s="99" t="s">
        <v>59</v>
      </c>
      <c r="D30" s="99"/>
      <c r="E30" s="99"/>
      <c r="F30" s="99"/>
      <c r="G30" s="100"/>
      <c r="I30" s="109" t="s">
        <v>64</v>
      </c>
      <c r="J30" s="99" t="s">
        <v>65</v>
      </c>
      <c r="K30" s="99"/>
      <c r="L30" s="99"/>
      <c r="M30" s="99"/>
      <c r="N30" s="99"/>
      <c r="O30" s="127"/>
    </row>
    <row r="31" spans="2:29">
      <c r="B31" s="110"/>
      <c r="C31" s="74"/>
      <c r="D31" s="74"/>
      <c r="E31" s="111">
        <v>7.6</v>
      </c>
      <c r="F31" s="74"/>
      <c r="G31" s="75"/>
      <c r="I31" s="110"/>
      <c r="J31" s="74"/>
      <c r="K31" s="74"/>
      <c r="L31" s="128">
        <v>540</v>
      </c>
      <c r="M31" s="129"/>
      <c r="N31" s="74"/>
      <c r="O31" s="130"/>
    </row>
    <row r="32" spans="2:29">
      <c r="B32" s="110"/>
      <c r="C32" s="115" t="s">
        <v>55</v>
      </c>
      <c r="D32" s="104"/>
      <c r="E32" s="104"/>
      <c r="F32" s="104"/>
      <c r="G32" s="105"/>
      <c r="I32" s="110"/>
      <c r="J32" s="115" t="s">
        <v>55</v>
      </c>
      <c r="K32" s="104"/>
      <c r="L32" s="104"/>
      <c r="M32" s="104"/>
      <c r="N32" s="104"/>
      <c r="O32" s="131"/>
    </row>
    <row r="33" spans="2:15">
      <c r="B33" s="110"/>
      <c r="C33" s="120">
        <f>ROUND(E33*0.75,0)</f>
        <v>488</v>
      </c>
      <c r="D33" s="116">
        <f>ROUND(E33*0.885,0)</f>
        <v>575</v>
      </c>
      <c r="E33" s="117">
        <v>650</v>
      </c>
      <c r="F33" s="116">
        <f>ROUND(E33*1.125,0)</f>
        <v>731</v>
      </c>
      <c r="G33" s="118">
        <f>ROUND(E33*1.25,0)</f>
        <v>813</v>
      </c>
      <c r="I33" s="110"/>
      <c r="J33" s="120">
        <f>ROUND(L33*0.75,0)</f>
        <v>938</v>
      </c>
      <c r="K33" s="116">
        <f>ROUND(L33*0.885,0)</f>
        <v>1106</v>
      </c>
      <c r="L33" s="117">
        <v>1250</v>
      </c>
      <c r="M33" s="116">
        <f>ROUND(L33*1.125,0)</f>
        <v>1406</v>
      </c>
      <c r="N33" s="116">
        <f>ROUND(L33*1.25,0)</f>
        <v>1563</v>
      </c>
      <c r="O33" s="132"/>
    </row>
    <row r="34" spans="2:15">
      <c r="B34" s="121"/>
      <c r="C34" s="115" t="s">
        <v>66</v>
      </c>
      <c r="D34" s="104"/>
      <c r="E34" s="104"/>
      <c r="F34" s="104"/>
      <c r="G34" s="105"/>
      <c r="I34" s="121"/>
      <c r="J34" s="115"/>
      <c r="K34" s="104"/>
      <c r="L34" s="104"/>
      <c r="M34" s="104"/>
      <c r="N34" s="104"/>
      <c r="O34" s="131"/>
    </row>
    <row r="35" spans="2:15">
      <c r="B35" s="122">
        <f>ROUND(B37*0.7,0)</f>
        <v>63</v>
      </c>
      <c r="C35" s="77">
        <f>(B35*E31)-$C$33</f>
        <v>-9.2000000000000455</v>
      </c>
      <c r="D35" s="78">
        <f>(B35*E31)-$D$33</f>
        <v>-96.200000000000045</v>
      </c>
      <c r="E35" s="78">
        <f>(B35*E31)-$E$33</f>
        <v>-171.20000000000005</v>
      </c>
      <c r="F35" s="78">
        <f>(B35*E31)-$F$33</f>
        <v>-252.20000000000005</v>
      </c>
      <c r="G35" s="79">
        <f>(B35*E31)-$G$33</f>
        <v>-334.20000000000005</v>
      </c>
      <c r="I35" s="133">
        <f>ROUND(I37*0.7,2)</f>
        <v>1.54</v>
      </c>
      <c r="J35" s="77">
        <f>(I35*L31)-$J$33</f>
        <v>-106.39999999999998</v>
      </c>
      <c r="K35" s="78">
        <f>(I35*L31)-$K$33</f>
        <v>-274.39999999999998</v>
      </c>
      <c r="L35" s="78">
        <f>(I35*L31)-$L$33</f>
        <v>-418.4</v>
      </c>
      <c r="M35" s="78">
        <f>(I35*L31)-$M$33</f>
        <v>-574.4</v>
      </c>
      <c r="N35" s="78">
        <f>(I35*L31)-$N$33</f>
        <v>-731.4</v>
      </c>
      <c r="O35" s="80"/>
    </row>
    <row r="36" spans="2:15">
      <c r="B36" s="123">
        <f>ROUND(B37*0.85,0)</f>
        <v>77</v>
      </c>
      <c r="C36" s="80">
        <f>(B36*E31)-$C$33</f>
        <v>97.199999999999932</v>
      </c>
      <c r="D36" s="81">
        <f>(B36*E31)-$D$33</f>
        <v>10.199999999999932</v>
      </c>
      <c r="E36" s="81">
        <f>(B36*E31)-$E$33</f>
        <v>-64.800000000000068</v>
      </c>
      <c r="F36" s="81">
        <f>(B36*E31)-$F$33</f>
        <v>-145.80000000000007</v>
      </c>
      <c r="G36" s="82">
        <f>(B36*E31)-$G$33</f>
        <v>-227.80000000000007</v>
      </c>
      <c r="I36" s="134">
        <f>ROUND(I37*0.85,2)</f>
        <v>1.87</v>
      </c>
      <c r="J36" s="80">
        <f>(I36*L31)-$J$33</f>
        <v>71.800000000000068</v>
      </c>
      <c r="K36" s="81">
        <f>(I36*L31)-$K$33</f>
        <v>-96.199999999999932</v>
      </c>
      <c r="L36" s="81">
        <f>(I36*L31)-$L$33</f>
        <v>-240.19999999999993</v>
      </c>
      <c r="M36" s="81">
        <f>(I36*L31)-$M$33</f>
        <v>-396.19999999999993</v>
      </c>
      <c r="N36" s="81">
        <f>(I36*L31)-$N$33</f>
        <v>-553.19999999999993</v>
      </c>
      <c r="O36" s="80"/>
    </row>
    <row r="37" spans="2:15">
      <c r="B37" s="124">
        <v>90</v>
      </c>
      <c r="C37" s="80">
        <f>(B37*E31)-$C$33</f>
        <v>196</v>
      </c>
      <c r="D37" s="81">
        <f>(B37*E31)-$D$33</f>
        <v>109</v>
      </c>
      <c r="E37" s="81">
        <f>(B37*E31)-$E$33</f>
        <v>34</v>
      </c>
      <c r="F37" s="81">
        <f>(B37*E31)-$F$33</f>
        <v>-47</v>
      </c>
      <c r="G37" s="82">
        <f>(B37*E31)-$G$33</f>
        <v>-129</v>
      </c>
      <c r="I37" s="135">
        <v>2.2000000000000002</v>
      </c>
      <c r="J37" s="80">
        <f>(I37*L31)-$J$33</f>
        <v>250</v>
      </c>
      <c r="K37" s="81">
        <f>(I37*L31)-$K$33</f>
        <v>82</v>
      </c>
      <c r="L37" s="81">
        <f>(I37*L31)-$L$33</f>
        <v>-62</v>
      </c>
      <c r="M37" s="81">
        <f>(I37*L31)-$M$33</f>
        <v>-218</v>
      </c>
      <c r="N37" s="81">
        <f>(I37*L31)-$N$33</f>
        <v>-375</v>
      </c>
      <c r="O37" s="80"/>
    </row>
    <row r="38" spans="2:15">
      <c r="B38" s="123">
        <f>ROUND(B37*1.15,0)</f>
        <v>104</v>
      </c>
      <c r="C38" s="80">
        <f>(B38*E31)-$C$33</f>
        <v>302.39999999999998</v>
      </c>
      <c r="D38" s="81">
        <f>(B38*E31)-$D$33</f>
        <v>215.39999999999998</v>
      </c>
      <c r="E38" s="81">
        <f>(B38*E31)-$E$33</f>
        <v>140.39999999999998</v>
      </c>
      <c r="F38" s="81">
        <f>(B38*E31)-$F$33</f>
        <v>59.399999999999977</v>
      </c>
      <c r="G38" s="82">
        <f>(B38*E31)-$G$33</f>
        <v>-22.600000000000023</v>
      </c>
      <c r="I38" s="134">
        <f>ROUND(I37*1.15,2)</f>
        <v>2.5299999999999998</v>
      </c>
      <c r="J38" s="80">
        <f>(I38*L31)-$J$33</f>
        <v>428.19999999999982</v>
      </c>
      <c r="K38" s="81">
        <f>(I38*L31)-$K$33</f>
        <v>260.19999999999982</v>
      </c>
      <c r="L38" s="81">
        <f>(I38*L31)-$L$33</f>
        <v>116.19999999999982</v>
      </c>
      <c r="M38" s="81">
        <f>(I38*L31)-$M$33</f>
        <v>-39.800000000000182</v>
      </c>
      <c r="N38" s="81">
        <f>(I38*L31)-$N$33</f>
        <v>-196.80000000000018</v>
      </c>
      <c r="O38" s="80"/>
    </row>
    <row r="39" spans="2:15">
      <c r="B39" s="125">
        <f>ROUND(B37*1.3,0)</f>
        <v>117</v>
      </c>
      <c r="C39" s="83">
        <f>(B39*E31)-$C$33</f>
        <v>401.19999999999993</v>
      </c>
      <c r="D39" s="84">
        <f>(B39*E31)-$D$33</f>
        <v>314.19999999999993</v>
      </c>
      <c r="E39" s="84">
        <f>(B39*E31)-$E$33</f>
        <v>239.19999999999993</v>
      </c>
      <c r="F39" s="84">
        <f>(B39*E31)-$F$33</f>
        <v>158.19999999999993</v>
      </c>
      <c r="G39" s="85">
        <f>(B39*E31)-$G$33</f>
        <v>76.199999999999932</v>
      </c>
      <c r="I39" s="136">
        <f>ROUND(I37*1.3,2)</f>
        <v>2.86</v>
      </c>
      <c r="J39" s="83">
        <f>(I39*L31)-$J$33</f>
        <v>606.39999999999986</v>
      </c>
      <c r="K39" s="84">
        <f>(I39*L31)-$K$33</f>
        <v>438.39999999999986</v>
      </c>
      <c r="L39" s="84">
        <f>(I39*L31)-$L$33</f>
        <v>294.39999999999986</v>
      </c>
      <c r="M39" s="84">
        <f>(I39*L31)-$M$33</f>
        <v>138.39999999999986</v>
      </c>
      <c r="N39" s="84">
        <f>(I39*L31)-$N$33</f>
        <v>-18.600000000000136</v>
      </c>
      <c r="O39" s="80"/>
    </row>
  </sheetData>
  <mergeCells count="40">
    <mergeCell ref="J34:N34"/>
    <mergeCell ref="Q8:U8"/>
    <mergeCell ref="C10:G10"/>
    <mergeCell ref="J10:N10"/>
    <mergeCell ref="Q10:U10"/>
    <mergeCell ref="B18:B22"/>
    <mergeCell ref="C18:G18"/>
    <mergeCell ref="I18:I22"/>
    <mergeCell ref="J18:N18"/>
    <mergeCell ref="P18:P22"/>
    <mergeCell ref="Q18:U18"/>
    <mergeCell ref="C20:G20"/>
    <mergeCell ref="J20:N20"/>
    <mergeCell ref="Q20:U20"/>
    <mergeCell ref="C22:G22"/>
    <mergeCell ref="J22:N22"/>
    <mergeCell ref="Q22:U22"/>
    <mergeCell ref="B30:B34"/>
    <mergeCell ref="C30:G30"/>
    <mergeCell ref="I30:I34"/>
    <mergeCell ref="J30:N30"/>
    <mergeCell ref="C32:G32"/>
    <mergeCell ref="J32:N32"/>
    <mergeCell ref="C34:G34"/>
    <mergeCell ref="W15:W19"/>
    <mergeCell ref="X15:AC16"/>
    <mergeCell ref="X17:AC17"/>
    <mergeCell ref="X19:AC19"/>
    <mergeCell ref="W3:W7"/>
    <mergeCell ref="X3:AB4"/>
    <mergeCell ref="X5:AB5"/>
    <mergeCell ref="X7:AB7"/>
    <mergeCell ref="C5:G6"/>
    <mergeCell ref="I6:I10"/>
    <mergeCell ref="J6:N6"/>
    <mergeCell ref="P6:P10"/>
    <mergeCell ref="Q6:U6"/>
    <mergeCell ref="B5:B10"/>
    <mergeCell ref="C8:G8"/>
    <mergeCell ref="J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Cotton Conv</vt:lpstr>
      <vt:lpstr>Cotton No Till</vt:lpstr>
      <vt:lpstr>Cotton Strip Till</vt:lpstr>
      <vt:lpstr>Tables</vt:lpstr>
      <vt:lpstr>'Cotton Conv'!Print_Area</vt:lpstr>
      <vt:lpstr>'Cotton No Till'!Print_Area</vt:lpstr>
      <vt:lpstr>'Cotton Strip Till'!Print_Area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Alan Washburn</dc:creator>
  <cp:lastModifiedBy>Cassie Scanlan</cp:lastModifiedBy>
  <cp:lastPrinted>2022-11-22T16:02:31Z</cp:lastPrinted>
  <dcterms:created xsi:type="dcterms:W3CDTF">2022-11-22T13:57:30Z</dcterms:created>
  <dcterms:modified xsi:type="dcterms:W3CDTF">2023-12-18T19:40:42Z</dcterms:modified>
</cp:coreProperties>
</file>