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mmhuffm2.WOLFTECH\Desktop\"/>
    </mc:Choice>
  </mc:AlternateContent>
  <xr:revisionPtr revIDLastSave="0" documentId="8_{81E72D5D-FD3A-4613-9A37-ECB9677826D0}" xr6:coauthVersionLast="47" xr6:coauthVersionMax="47" xr10:uidLastSave="{00000000-0000-0000-0000-000000000000}"/>
  <bookViews>
    <workbookView xWindow="-120" yWindow="-120" windowWidth="29040" windowHeight="15840" xr2:uid="{00000000-000D-0000-FFFF-FFFF00000000}"/>
  </bookViews>
  <sheets>
    <sheet name="Crop Comparison" sheetId="1" r:id="rId1"/>
    <sheet name="Crop Cost Inflation Tool" sheetId="5" r:id="rId2"/>
    <sheet name="Crop &amp; Farm Summary" sheetId="3" r:id="rId3"/>
    <sheet name="State Yields" sheetId="2" r:id="rId4"/>
    <sheet name="Regional Yeilds" sheetId="4" r:id="rId5"/>
  </sheets>
  <externalReferences>
    <externalReference r:id="rId6"/>
  </externalReferences>
  <definedNames>
    <definedName name="_xlnm.Print_Area" localSheetId="0">'Crop Comparison'!$B$4:$K$58</definedName>
    <definedName name="Seeds">[1]Seed!$A$7:$H$90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2" i="5" l="1"/>
  <c r="I52" i="5"/>
  <c r="H52" i="5"/>
  <c r="G52" i="5"/>
  <c r="F52" i="5"/>
  <c r="E52" i="5"/>
  <c r="D52" i="5"/>
  <c r="C52" i="5"/>
  <c r="J22" i="5"/>
  <c r="I22" i="5"/>
  <c r="H22" i="5"/>
  <c r="H2" i="5" s="1"/>
  <c r="G22" i="5"/>
  <c r="G2" i="5" s="1"/>
  <c r="F22" i="5"/>
  <c r="F2" i="5" s="1"/>
  <c r="E22" i="5"/>
  <c r="E2" i="5" s="1"/>
  <c r="D22" i="5"/>
  <c r="D2" i="5" s="1"/>
  <c r="C22" i="5"/>
  <c r="J46" i="5"/>
  <c r="J68" i="5" s="1"/>
  <c r="I46" i="5"/>
  <c r="I68" i="5" s="1"/>
  <c r="H46" i="5"/>
  <c r="H68" i="5" s="1"/>
  <c r="G46" i="5"/>
  <c r="G68" i="5" s="1"/>
  <c r="F46" i="5"/>
  <c r="F68" i="5" s="1"/>
  <c r="E46" i="5"/>
  <c r="E68" i="5" s="1"/>
  <c r="D46" i="5"/>
  <c r="D68" i="5" s="1"/>
  <c r="C46" i="5"/>
  <c r="C68" i="5" s="1"/>
  <c r="J45" i="5"/>
  <c r="J67" i="5" s="1"/>
  <c r="I45" i="5"/>
  <c r="I67" i="5" s="1"/>
  <c r="H45" i="5"/>
  <c r="H67" i="5" s="1"/>
  <c r="G45" i="5"/>
  <c r="G67" i="5" s="1"/>
  <c r="F45" i="5"/>
  <c r="F67" i="5" s="1"/>
  <c r="E45" i="5"/>
  <c r="E67" i="5" s="1"/>
  <c r="D45" i="5"/>
  <c r="D67" i="5" s="1"/>
  <c r="C45" i="5"/>
  <c r="C67" i="5" s="1"/>
  <c r="J44" i="5"/>
  <c r="J66" i="5" s="1"/>
  <c r="I44" i="5"/>
  <c r="I66" i="5" s="1"/>
  <c r="H44" i="5"/>
  <c r="H66" i="5" s="1"/>
  <c r="G44" i="5"/>
  <c r="G66" i="5" s="1"/>
  <c r="F44" i="5"/>
  <c r="F66" i="5" s="1"/>
  <c r="E44" i="5"/>
  <c r="E66" i="5" s="1"/>
  <c r="D44" i="5"/>
  <c r="D66" i="5" s="1"/>
  <c r="C44" i="5"/>
  <c r="C66" i="5" s="1"/>
  <c r="J43" i="5"/>
  <c r="J65" i="5" s="1"/>
  <c r="I43" i="5"/>
  <c r="I65" i="5" s="1"/>
  <c r="H43" i="5"/>
  <c r="H65" i="5" s="1"/>
  <c r="G43" i="5"/>
  <c r="G65" i="5" s="1"/>
  <c r="F43" i="5"/>
  <c r="F65" i="5" s="1"/>
  <c r="E43" i="5"/>
  <c r="E65" i="5" s="1"/>
  <c r="D43" i="5"/>
  <c r="D65" i="5" s="1"/>
  <c r="C43" i="5"/>
  <c r="C65" i="5" s="1"/>
  <c r="J42" i="5"/>
  <c r="J64" i="5" s="1"/>
  <c r="I42" i="5"/>
  <c r="I64" i="5" s="1"/>
  <c r="H42" i="5"/>
  <c r="H64" i="5" s="1"/>
  <c r="G42" i="5"/>
  <c r="G64" i="5" s="1"/>
  <c r="F42" i="5"/>
  <c r="F64" i="5" s="1"/>
  <c r="E42" i="5"/>
  <c r="E64" i="5" s="1"/>
  <c r="D42" i="5"/>
  <c r="D64" i="5" s="1"/>
  <c r="C42" i="5"/>
  <c r="C64" i="5" s="1"/>
  <c r="J41" i="5"/>
  <c r="J63" i="5" s="1"/>
  <c r="I41" i="5"/>
  <c r="I63" i="5" s="1"/>
  <c r="H41" i="5"/>
  <c r="H63" i="5" s="1"/>
  <c r="G41" i="5"/>
  <c r="G63" i="5" s="1"/>
  <c r="F41" i="5"/>
  <c r="F63" i="5" s="1"/>
  <c r="E41" i="5"/>
  <c r="E63" i="5" s="1"/>
  <c r="D41" i="5"/>
  <c r="D63" i="5" s="1"/>
  <c r="C41" i="5"/>
  <c r="C63" i="5" s="1"/>
  <c r="J40" i="5"/>
  <c r="J62" i="5" s="1"/>
  <c r="I40" i="5"/>
  <c r="I62" i="5" s="1"/>
  <c r="H40" i="5"/>
  <c r="H62" i="5" s="1"/>
  <c r="G40" i="5"/>
  <c r="G62" i="5" s="1"/>
  <c r="F40" i="5"/>
  <c r="F62" i="5" s="1"/>
  <c r="E40" i="5"/>
  <c r="E62" i="5" s="1"/>
  <c r="D40" i="5"/>
  <c r="D62" i="5" s="1"/>
  <c r="C40" i="5"/>
  <c r="C62" i="5" s="1"/>
  <c r="J39" i="5"/>
  <c r="J61" i="5" s="1"/>
  <c r="I39" i="5"/>
  <c r="I61" i="5" s="1"/>
  <c r="H39" i="5"/>
  <c r="H61" i="5" s="1"/>
  <c r="G39" i="5"/>
  <c r="G61" i="5" s="1"/>
  <c r="F39" i="5"/>
  <c r="F61" i="5" s="1"/>
  <c r="E39" i="5"/>
  <c r="E61" i="5" s="1"/>
  <c r="D39" i="5"/>
  <c r="D61" i="5" s="1"/>
  <c r="C39" i="5"/>
  <c r="C61" i="5" s="1"/>
  <c r="J38" i="5"/>
  <c r="J60" i="5" s="1"/>
  <c r="I38" i="5"/>
  <c r="I60" i="5" s="1"/>
  <c r="H38" i="5"/>
  <c r="H60" i="5" s="1"/>
  <c r="G38" i="5"/>
  <c r="G60" i="5" s="1"/>
  <c r="F38" i="5"/>
  <c r="F60" i="5" s="1"/>
  <c r="E38" i="5"/>
  <c r="E60" i="5" s="1"/>
  <c r="D38" i="5"/>
  <c r="D60" i="5" s="1"/>
  <c r="C38" i="5"/>
  <c r="C60" i="5" s="1"/>
  <c r="J37" i="5"/>
  <c r="J59" i="5" s="1"/>
  <c r="I37" i="5"/>
  <c r="I59" i="5" s="1"/>
  <c r="H37" i="5"/>
  <c r="H59" i="5" s="1"/>
  <c r="G37" i="5"/>
  <c r="G59" i="5" s="1"/>
  <c r="F37" i="5"/>
  <c r="F59" i="5" s="1"/>
  <c r="E37" i="5"/>
  <c r="E59" i="5" s="1"/>
  <c r="D37" i="5"/>
  <c r="D59" i="5" s="1"/>
  <c r="C37" i="5"/>
  <c r="C59" i="5" s="1"/>
  <c r="J36" i="5"/>
  <c r="J58" i="5" s="1"/>
  <c r="I36" i="5"/>
  <c r="I58" i="5" s="1"/>
  <c r="H36" i="5"/>
  <c r="H58" i="5" s="1"/>
  <c r="G36" i="5"/>
  <c r="G58" i="5" s="1"/>
  <c r="F36" i="5"/>
  <c r="F58" i="5" s="1"/>
  <c r="E36" i="5"/>
  <c r="E58" i="5" s="1"/>
  <c r="D36" i="5"/>
  <c r="D58" i="5" s="1"/>
  <c r="C36" i="5"/>
  <c r="C58" i="5" s="1"/>
  <c r="J35" i="5"/>
  <c r="J57" i="5" s="1"/>
  <c r="I35" i="5"/>
  <c r="I57" i="5" s="1"/>
  <c r="H35" i="5"/>
  <c r="H57" i="5" s="1"/>
  <c r="G35" i="5"/>
  <c r="G57" i="5" s="1"/>
  <c r="F35" i="5"/>
  <c r="F57" i="5" s="1"/>
  <c r="E35" i="5"/>
  <c r="E57" i="5" s="1"/>
  <c r="D35" i="5"/>
  <c r="D57" i="5" s="1"/>
  <c r="C35" i="5"/>
  <c r="C57" i="5" s="1"/>
  <c r="J34" i="5"/>
  <c r="J56" i="5" s="1"/>
  <c r="I34" i="5"/>
  <c r="I56" i="5" s="1"/>
  <c r="H34" i="5"/>
  <c r="H56" i="5" s="1"/>
  <c r="G34" i="5"/>
  <c r="G56" i="5" s="1"/>
  <c r="F34" i="5"/>
  <c r="F56" i="5" s="1"/>
  <c r="E34" i="5"/>
  <c r="E56" i="5" s="1"/>
  <c r="D34" i="5"/>
  <c r="D56" i="5" s="1"/>
  <c r="C34" i="5"/>
  <c r="C56" i="5" s="1"/>
  <c r="J31" i="5"/>
  <c r="J53" i="5" s="1"/>
  <c r="I31" i="5"/>
  <c r="H31" i="5"/>
  <c r="H53" i="5" s="1"/>
  <c r="G31" i="5"/>
  <c r="G53" i="5" s="1"/>
  <c r="F31" i="5"/>
  <c r="E31" i="5"/>
  <c r="E53" i="5" s="1"/>
  <c r="D31" i="5"/>
  <c r="C31" i="5"/>
  <c r="C53" i="5" s="1"/>
  <c r="C33" i="5"/>
  <c r="C55" i="5" s="1"/>
  <c r="I53" i="5"/>
  <c r="D32" i="5"/>
  <c r="D54" i="5" s="1"/>
  <c r="E32" i="5"/>
  <c r="E54" i="5" s="1"/>
  <c r="F32" i="5"/>
  <c r="F54" i="5" s="1"/>
  <c r="G32" i="5"/>
  <c r="H32" i="5"/>
  <c r="H54" i="5" s="1"/>
  <c r="I32" i="5"/>
  <c r="I54" i="5" s="1"/>
  <c r="J32" i="5"/>
  <c r="J48" i="5" s="1"/>
  <c r="D33" i="5"/>
  <c r="D55" i="5" s="1"/>
  <c r="E33" i="5"/>
  <c r="F33" i="5"/>
  <c r="F55" i="5" s="1"/>
  <c r="G33" i="5"/>
  <c r="G55" i="5" s="1"/>
  <c r="H33" i="5"/>
  <c r="H55" i="5" s="1"/>
  <c r="I33" i="5"/>
  <c r="I55" i="5" s="1"/>
  <c r="J33" i="5"/>
  <c r="J55" i="5" s="1"/>
  <c r="C32" i="5"/>
  <c r="C54" i="5" s="1"/>
  <c r="F53" i="5"/>
  <c r="A43" i="5"/>
  <c r="A65" i="5" s="1"/>
  <c r="A40" i="5"/>
  <c r="A62" i="5" s="1"/>
  <c r="A39" i="5"/>
  <c r="A61" i="5" s="1"/>
  <c r="A38" i="5"/>
  <c r="A60" i="5" s="1"/>
  <c r="A37" i="5"/>
  <c r="A59" i="5" s="1"/>
  <c r="A34" i="5"/>
  <c r="A56" i="5" s="1"/>
  <c r="A32" i="5"/>
  <c r="A54" i="5" s="1"/>
  <c r="A31" i="5"/>
  <c r="A53" i="5" s="1"/>
  <c r="A28" i="5"/>
  <c r="A27" i="5"/>
  <c r="A26" i="5"/>
  <c r="A25" i="5"/>
  <c r="A23" i="5"/>
  <c r="C2" i="5"/>
  <c r="F9" i="1"/>
  <c r="I14" i="1"/>
  <c r="I16" i="2"/>
  <c r="F14" i="1"/>
  <c r="C14" i="1"/>
  <c r="C15" i="2"/>
  <c r="C16" i="2"/>
  <c r="D14" i="1" s="1"/>
  <c r="B16" i="2"/>
  <c r="G16" i="2"/>
  <c r="F16" i="2"/>
  <c r="H14" i="1" s="1"/>
  <c r="E16" i="2"/>
  <c r="G14" i="1" s="1"/>
  <c r="D16" i="2"/>
  <c r="E14" i="1" s="1"/>
  <c r="G15" i="2"/>
  <c r="F15" i="2"/>
  <c r="E15" i="2"/>
  <c r="D15" i="2"/>
  <c r="B15" i="2"/>
  <c r="G8" i="1"/>
  <c r="F48" i="5" l="1"/>
  <c r="I70" i="5"/>
  <c r="J54" i="5"/>
  <c r="J70" i="5" s="1"/>
  <c r="E48" i="5"/>
  <c r="I48" i="5"/>
  <c r="G48" i="5"/>
  <c r="G54" i="5"/>
  <c r="G70" i="5" s="1"/>
  <c r="D48" i="5"/>
  <c r="E55" i="5"/>
  <c r="E70" i="5" s="1"/>
  <c r="D53" i="5"/>
  <c r="H48" i="5"/>
  <c r="C48" i="5"/>
  <c r="H70" i="5"/>
  <c r="D70" i="5"/>
  <c r="F70" i="5"/>
  <c r="C70" i="5"/>
  <c r="G55" i="1"/>
  <c r="H82" i="1" s="1"/>
  <c r="J72" i="5" l="1"/>
  <c r="J71" i="5"/>
  <c r="C71" i="5"/>
  <c r="C72" i="5"/>
  <c r="I72" i="5"/>
  <c r="I71" i="5"/>
  <c r="D72" i="5"/>
  <c r="E71" i="5"/>
  <c r="D71" i="5"/>
  <c r="G71" i="5"/>
  <c r="E72" i="5"/>
  <c r="G72" i="5"/>
  <c r="F72" i="5"/>
  <c r="H72" i="5"/>
  <c r="F71" i="5"/>
  <c r="H71" i="5"/>
  <c r="H4" i="2"/>
  <c r="H5" i="2"/>
  <c r="H6" i="2"/>
  <c r="H7" i="2"/>
  <c r="H8" i="2"/>
  <c r="H9" i="2"/>
  <c r="H10" i="2"/>
  <c r="H11" i="2"/>
  <c r="H12" i="2"/>
  <c r="H15" i="2" s="1"/>
  <c r="H3" i="2"/>
  <c r="J51" i="1"/>
  <c r="J50" i="1"/>
  <c r="H16" i="2" l="1"/>
  <c r="J14" i="1" s="1"/>
  <c r="H17" i="2"/>
  <c r="J65" i="1"/>
  <c r="J26" i="5" s="1"/>
  <c r="J53" i="1"/>
  <c r="J59" i="1" s="1"/>
  <c r="J13" i="1"/>
  <c r="J23" i="5" s="1"/>
  <c r="J12" i="1"/>
  <c r="C10" i="3" l="1"/>
  <c r="D10" i="3" s="1"/>
  <c r="J25" i="5"/>
  <c r="J49" i="5" s="1"/>
  <c r="J60" i="1"/>
  <c r="H10" i="3" s="1"/>
  <c r="J66" i="1"/>
  <c r="D24" i="3" l="1"/>
  <c r="E10" i="3"/>
  <c r="E24" i="3" s="1"/>
  <c r="J27" i="5"/>
  <c r="I10" i="3"/>
  <c r="G24" i="3"/>
  <c r="J67" i="1"/>
  <c r="J70" i="1"/>
  <c r="J69" i="1"/>
  <c r="J72" i="1" s="1"/>
  <c r="E65" i="1"/>
  <c r="E26" i="5" s="1"/>
  <c r="I26" i="3"/>
  <c r="F10" i="3" l="1"/>
  <c r="J10" i="3"/>
  <c r="K10" i="3" s="1"/>
  <c r="J28" i="5"/>
  <c r="H24" i="3"/>
  <c r="H13" i="1"/>
  <c r="H23" i="5" s="1"/>
  <c r="I13" i="1"/>
  <c r="I23" i="5" s="1"/>
  <c r="I15" i="2" l="1"/>
  <c r="I65" i="1"/>
  <c r="I26" i="5" s="1"/>
  <c r="I53" i="1"/>
  <c r="I59" i="1" s="1"/>
  <c r="I12" i="1"/>
  <c r="H65" i="1"/>
  <c r="H26" i="5" s="1"/>
  <c r="H53" i="1"/>
  <c r="H59" i="1" s="1"/>
  <c r="H12" i="1"/>
  <c r="C9" i="3" l="1"/>
  <c r="D23" i="3" s="1"/>
  <c r="I25" i="5"/>
  <c r="I49" i="5" s="1"/>
  <c r="C11" i="3"/>
  <c r="H25" i="5"/>
  <c r="H49" i="5" s="1"/>
  <c r="G17" i="2"/>
  <c r="D9" i="3"/>
  <c r="H60" i="1"/>
  <c r="H11" i="3" s="1"/>
  <c r="H66" i="1"/>
  <c r="H27" i="5" s="1"/>
  <c r="I66" i="1"/>
  <c r="I27" i="5" s="1"/>
  <c r="I60" i="1"/>
  <c r="H9" i="3" s="1"/>
  <c r="G23" i="3" s="1"/>
  <c r="B17" i="2"/>
  <c r="F17" i="2"/>
  <c r="L77" i="4"/>
  <c r="L75" i="4"/>
  <c r="L73" i="4"/>
  <c r="L54" i="4"/>
  <c r="L52" i="4"/>
  <c r="L50" i="4"/>
  <c r="L47" i="4"/>
  <c r="L45" i="4"/>
  <c r="L16" i="4"/>
  <c r="L14" i="4"/>
  <c r="L12" i="4"/>
  <c r="L9" i="4"/>
  <c r="L7" i="4"/>
  <c r="L5" i="4"/>
  <c r="I11" i="3" l="1"/>
  <c r="G22" i="3"/>
  <c r="E11" i="3"/>
  <c r="H70" i="1"/>
  <c r="H69" i="1"/>
  <c r="H72" i="1" s="1"/>
  <c r="I70" i="1"/>
  <c r="E9" i="3"/>
  <c r="D11" i="3"/>
  <c r="D22" i="3"/>
  <c r="I9" i="3"/>
  <c r="I69" i="1"/>
  <c r="I72" i="1" s="1"/>
  <c r="I67" i="1"/>
  <c r="H67" i="1"/>
  <c r="F81" i="4"/>
  <c r="F79" i="4"/>
  <c r="F77" i="4"/>
  <c r="F58" i="4"/>
  <c r="F56" i="4"/>
  <c r="F54" i="4"/>
  <c r="F51" i="4"/>
  <c r="F49" i="4"/>
  <c r="F16" i="4"/>
  <c r="F14" i="4"/>
  <c r="F12" i="4"/>
  <c r="F9" i="4"/>
  <c r="F7" i="4"/>
  <c r="F5" i="4"/>
  <c r="J9" i="3" l="1"/>
  <c r="H23" i="3" s="1"/>
  <c r="I28" i="5"/>
  <c r="J11" i="3"/>
  <c r="H22" i="3" s="1"/>
  <c r="H28" i="5"/>
  <c r="H74" i="5" s="1"/>
  <c r="H76" i="5" s="1"/>
  <c r="F9" i="3"/>
  <c r="E23" i="3"/>
  <c r="E22" i="3"/>
  <c r="F11" i="3"/>
  <c r="K9" i="3"/>
  <c r="C53" i="1"/>
  <c r="C59" i="1" s="1"/>
  <c r="K11" i="3" l="1"/>
  <c r="C5" i="3"/>
  <c r="C25" i="5"/>
  <c r="C49" i="5" s="1"/>
  <c r="C26" i="3"/>
  <c r="D53" i="1"/>
  <c r="D59" i="1" s="1"/>
  <c r="E53" i="1"/>
  <c r="E59" i="1" s="1"/>
  <c r="E25" i="5" s="1"/>
  <c r="E49" i="5" s="1"/>
  <c r="F53" i="1"/>
  <c r="F59" i="1" s="1"/>
  <c r="G53" i="1"/>
  <c r="G59" i="1" s="1"/>
  <c r="C6" i="3" l="1"/>
  <c r="D25" i="5"/>
  <c r="D49" i="5" s="1"/>
  <c r="C8" i="3"/>
  <c r="D21" i="3" s="1"/>
  <c r="F25" i="5"/>
  <c r="F49" i="5" s="1"/>
  <c r="C12" i="3"/>
  <c r="D12" i="3" s="1"/>
  <c r="G25" i="5"/>
  <c r="G49" i="5" s="1"/>
  <c r="K14" i="3"/>
  <c r="C7" i="3"/>
  <c r="E66" i="1"/>
  <c r="E27" i="5" s="1"/>
  <c r="D8" i="3" l="1"/>
  <c r="C12" i="1"/>
  <c r="D19" i="3" l="1"/>
  <c r="G12" i="1"/>
  <c r="G13" i="1" s="1"/>
  <c r="G23" i="5" s="1"/>
  <c r="E12" i="1"/>
  <c r="C65" i="1"/>
  <c r="C26" i="5" s="1"/>
  <c r="G65" i="1"/>
  <c r="G26" i="5" s="1"/>
  <c r="F65" i="1"/>
  <c r="F26" i="5" s="1"/>
  <c r="D65" i="1"/>
  <c r="D26" i="5" s="1"/>
  <c r="D20" i="3" l="1"/>
  <c r="C17" i="2"/>
  <c r="D17" i="2"/>
  <c r="E17" i="2"/>
  <c r="F13" i="1"/>
  <c r="F23" i="5" s="1"/>
  <c r="C13" i="1"/>
  <c r="E13" i="1"/>
  <c r="E23" i="5" s="1"/>
  <c r="E7" i="3"/>
  <c r="E19" i="3" s="1"/>
  <c r="C60" i="1" l="1"/>
  <c r="H5" i="3" s="1"/>
  <c r="G17" i="3" s="1"/>
  <c r="C23" i="5"/>
  <c r="E60" i="1"/>
  <c r="H7" i="3" s="1"/>
  <c r="G20" i="3" s="1"/>
  <c r="E67" i="1"/>
  <c r="E20" i="3"/>
  <c r="F60" i="1"/>
  <c r="H8" i="3" s="1"/>
  <c r="G21" i="3" s="1"/>
  <c r="F66" i="1"/>
  <c r="F27" i="5" s="1"/>
  <c r="C66" i="1"/>
  <c r="C27" i="5" s="1"/>
  <c r="E69" i="1"/>
  <c r="E72" i="1" s="1"/>
  <c r="E70" i="1"/>
  <c r="J7" i="3" l="1"/>
  <c r="E28" i="5"/>
  <c r="E74" i="5" s="1"/>
  <c r="E76" i="5" s="1"/>
  <c r="G19" i="3"/>
  <c r="H19" i="3"/>
  <c r="H20" i="3"/>
  <c r="F70" i="1"/>
  <c r="E8" i="3"/>
  <c r="E21" i="3" s="1"/>
  <c r="C70" i="1"/>
  <c r="C69" i="1"/>
  <c r="C72" i="1" s="1"/>
  <c r="E5" i="3"/>
  <c r="C67" i="1"/>
  <c r="K7" i="3"/>
  <c r="D7" i="3"/>
  <c r="D5" i="3"/>
  <c r="D17" i="3"/>
  <c r="I7" i="3"/>
  <c r="D13" i="1"/>
  <c r="D23" i="5" s="1"/>
  <c r="J5" i="3" l="1"/>
  <c r="H17" i="3" s="1"/>
  <c r="C28" i="5"/>
  <c r="C74" i="5" s="1"/>
  <c r="C76" i="5" s="1"/>
  <c r="F8" i="3"/>
  <c r="F7" i="3"/>
  <c r="F5" i="3"/>
  <c r="E17" i="3"/>
  <c r="F12" i="1"/>
  <c r="D12" i="1"/>
  <c r="F69" i="1" l="1"/>
  <c r="F67" i="1"/>
  <c r="J8" i="3" l="1"/>
  <c r="H21" i="3" s="1"/>
  <c r="F28" i="5"/>
  <c r="F74" i="5" s="1"/>
  <c r="F76" i="5" s="1"/>
  <c r="K8" i="3"/>
  <c r="I8" i="3"/>
  <c r="D6" i="3" l="1"/>
  <c r="D18" i="3"/>
  <c r="K5" i="3"/>
  <c r="I5" i="3"/>
  <c r="D66" i="1" l="1"/>
  <c r="D60" i="1"/>
  <c r="H6" i="3" s="1"/>
  <c r="I6" i="3" s="1"/>
  <c r="E6" i="3" l="1"/>
  <c r="D27" i="5"/>
  <c r="G18" i="3"/>
  <c r="F6" i="3"/>
  <c r="E18" i="3"/>
  <c r="D70" i="1"/>
  <c r="D67" i="1"/>
  <c r="D69" i="1"/>
  <c r="D72" i="1" s="1"/>
  <c r="J6" i="3" l="1"/>
  <c r="H18" i="3" s="1"/>
  <c r="D28" i="5"/>
  <c r="D74" i="5" s="1"/>
  <c r="D76" i="5" s="1"/>
  <c r="K6" i="3"/>
  <c r="G66" i="1" l="1"/>
  <c r="G60" i="1"/>
  <c r="H12" i="3" s="1"/>
  <c r="E12" i="3" l="1"/>
  <c r="F12" i="3" s="1"/>
  <c r="G27" i="5"/>
  <c r="G69" i="1"/>
  <c r="G72" i="1" s="1"/>
  <c r="G70" i="1"/>
  <c r="D25" i="3"/>
  <c r="D26" i="3" s="1"/>
  <c r="I12" i="3"/>
  <c r="G25" i="3"/>
  <c r="G67" i="1"/>
  <c r="J12" i="3" l="1"/>
  <c r="H25" i="3" s="1"/>
  <c r="G28" i="5"/>
  <c r="G74" i="5" s="1"/>
  <c r="G76" i="5" s="1"/>
  <c r="H26" i="3"/>
  <c r="G26" i="3"/>
  <c r="K12" i="3"/>
  <c r="E25" i="3"/>
  <c r="E26" i="3" s="1"/>
  <c r="J26" i="3" s="1"/>
  <c r="K13" i="3" s="1"/>
  <c r="J24" i="3" l="1"/>
  <c r="K24" i="3" s="1"/>
  <c r="J18" i="3"/>
  <c r="J17" i="3"/>
  <c r="K17" i="3" s="1"/>
  <c r="J21" i="3" l="1"/>
  <c r="K21" i="3" s="1"/>
  <c r="J22" i="3"/>
  <c r="K22" i="3" s="1"/>
  <c r="K18" i="3"/>
  <c r="J23" i="3"/>
  <c r="K23" i="3" s="1"/>
  <c r="J19" i="3"/>
  <c r="K19" i="3" s="1"/>
  <c r="J25" i="3"/>
  <c r="K25" i="3" s="1"/>
  <c r="J20" i="3"/>
  <c r="K20" i="3" s="1"/>
  <c r="K2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Alan Washburn</author>
    <author>tc={69B8F56E-16CB-44EF-AE28-DFF626946DAB}</author>
    <author>tc={A3B38D96-9107-468F-B9B5-230306BCE04A}</author>
    <author>tc={864D2B5F-C3EE-4B19-A5A9-FDA28B89084A}</author>
    <author>Nick</author>
  </authors>
  <commentList>
    <comment ref="G8" authorId="0" shapeId="0" xr:uid="{00000000-0006-0000-0000-000001000000}">
      <text>
        <r>
          <rPr>
            <sz val="9"/>
            <color indexed="81"/>
            <rFont val="Tahoma"/>
            <family val="2"/>
          </rPr>
          <t>Derek Washburn:
For every lb. of cotton ginned it is assumed there will be 1.67 lbs. of seed, this number is variable based on cotton variety.</t>
        </r>
      </text>
    </comment>
    <comment ref="B9" authorId="0" shapeId="0" xr:uid="{00000000-0006-0000-0000-000002000000}">
      <text>
        <r>
          <rPr>
            <b/>
            <sz val="9"/>
            <color indexed="81"/>
            <rFont val="Tahoma"/>
            <family val="2"/>
          </rPr>
          <t>Derek Alan Washburn: Peanuts and Tobacco prices are based on contract sales not futures</t>
        </r>
        <r>
          <rPr>
            <sz val="9"/>
            <color indexed="81"/>
            <rFont val="Tahoma"/>
            <family val="2"/>
          </rPr>
          <t xml:space="preserve">
</t>
        </r>
      </text>
    </comment>
    <comment ref="C9" authorId="1" shapeId="0" xr:uid="{00000000-0006-0000-0000-000003000000}">
      <text>
        <t>[Threaded comment]
Your version of Excel allows you to read this threaded comment; however, any edits to it will get removed if the file is opened in a newer version of Excel. Learn more: https://go.microsoft.com/fwlink/?linkid=870924
Comment:
    Corn_Dec22</t>
      </text>
    </comment>
    <comment ref="D9" authorId="2" shapeId="0" xr:uid="{00000000-0006-0000-0000-000004000000}">
      <text>
        <t>[Threaded comment]
Your version of Excel allows you to read this threaded comment; however, any edits to it will get removed if the file is opened in a newer version of Excel. Learn more: https://go.microsoft.com/fwlink/?linkid=870924
Comment:
    Corn_Jul22</t>
      </text>
    </comment>
    <comment ref="F9" authorId="3" shapeId="0" xr:uid="{00000000-0006-0000-0000-000005000000}">
      <text>
        <t>[Threaded comment]
Your version of Excel allows you to read this threaded comment; however, any edits to it will get removed if the file is opened in a newer version of Excel. Learn more: https://go.microsoft.com/fwlink/?linkid=870924
Comment:
    NYBOT CT-Dec22</t>
      </text>
    </comment>
    <comment ref="B53" authorId="0" shapeId="0" xr:uid="{00000000-0006-0000-0000-000006000000}">
      <text>
        <r>
          <rPr>
            <sz val="9"/>
            <color indexed="81"/>
            <rFont val="Tahoma"/>
            <family val="2"/>
          </rPr>
          <t xml:space="preserve">Derek Washburn: This value will come from cell B2
</t>
        </r>
      </text>
    </comment>
    <comment ref="C54" authorId="4" shapeId="0" xr:uid="{00000000-0006-0000-0000-000007000000}">
      <text>
        <r>
          <rPr>
            <b/>
            <sz val="9"/>
            <color indexed="81"/>
            <rFont val="Tahoma"/>
            <family val="2"/>
          </rPr>
          <t>Nick:
Why not a cost of insurance for corn, soybean, wheat and sorghum</t>
        </r>
        <r>
          <rPr>
            <sz val="9"/>
            <color indexed="81"/>
            <rFont val="Tahoma"/>
            <family val="2"/>
          </rPr>
          <t xml:space="preserve">
</t>
        </r>
      </text>
    </comment>
    <comment ref="B55" authorId="0" shapeId="0" xr:uid="{00000000-0006-0000-0000-000008000000}">
      <text>
        <r>
          <rPr>
            <b/>
            <sz val="9"/>
            <color indexed="81"/>
            <rFont val="Tahoma"/>
            <family val="2"/>
          </rPr>
          <t>Derek Alan Washburn:</t>
        </r>
        <r>
          <rPr>
            <sz val="9"/>
            <color indexed="81"/>
            <rFont val="Tahoma"/>
            <family val="2"/>
          </rPr>
          <t xml:space="preserve">
Use yellow cell below to adjust ginning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tc={E941AF73-4AD9-48FD-9EFC-08B376E02683}</author>
  </authors>
  <commentList>
    <comment ref="A49" authorId="0" shapeId="0" xr:uid="{E941AF73-4AD9-48FD-9EFC-08B376E02683}">
      <text>
        <t>[Threaded comment]
Your version of Excel allows you to read this threaded comment; however, any edits to it will get removed if the file is opened in a newer version of Excel. Learn more: https://go.microsoft.com/fwlink/?linkid=870924
Comment:
    Note: this  is how much of the total variable cost is fertilzier and pesticide cost as a percentage.
Example: 40 percent of my variable cost in planting and harvesting corn is spent on fertilzier and pesticides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Derek Alan Washburn</author>
  </authors>
  <commentList>
    <comment ref="J16" authorId="0" shapeId="0" xr:uid="{00000000-0006-0000-0200-000001000000}">
      <text>
        <r>
          <rPr>
            <b/>
            <sz val="9"/>
            <color indexed="81"/>
            <rFont val="Tahoma"/>
            <family val="2"/>
          </rPr>
          <t>Derek Alan Washburn:</t>
        </r>
        <r>
          <rPr>
            <sz val="9"/>
            <color indexed="81"/>
            <rFont val="Tahoma"/>
            <family val="2"/>
          </rPr>
          <t xml:space="preserve">
Use the percentage of farm overhead cell to include cost related to:
*Shop Cost- utilities, mortgage on buidlings and land for shop
*Salaried Employees- our budgets assume hourly labor for equipment operators at the current H2A labor rate, if there are additional cost from salaried employees utilized for whole farm maintenance, account management, record keeping, payroll....ect
*Other bills that must be paid in the operation of the total farm in the given year such as contracted services for lawyers, accountants, and facilities maintenance.
DO NOT INCLUDE:
*Fixed Cost on Tractor and Machinery including Insurance, Taxes, Depreciation , or Interest
*H2A overhead cost for tobacco or sweet potatoes such as living space, transportation, recruiting fees, ect
*Tobacco loading system, tobacco bulk barns, tobacco bailer.
</t>
        </r>
      </text>
    </comment>
    <comment ref="C17" authorId="0" shapeId="0" xr:uid="{00000000-0006-0000-0200-000002000000}">
      <text>
        <r>
          <rPr>
            <b/>
            <sz val="9"/>
            <color indexed="81"/>
            <rFont val="Tahoma"/>
            <family val="2"/>
          </rPr>
          <t>Derek Alan Washburn:</t>
        </r>
        <r>
          <rPr>
            <sz val="9"/>
            <color indexed="81"/>
            <rFont val="Tahoma"/>
            <family val="2"/>
          </rPr>
          <t xml:space="preserve">
Enter all your potential farm acreages here. We assume double crop acreage is double cropped with soybeans, there for any acreage listed with a double crop will not add to the total farm acreage number.</t>
        </r>
      </text>
    </comment>
    <comment ref="B19" authorId="0" shapeId="0" xr:uid="{00000000-0006-0000-0200-000003000000}">
      <text>
        <r>
          <rPr>
            <b/>
            <sz val="9"/>
            <color indexed="81"/>
            <rFont val="Tahoma"/>
            <family val="2"/>
          </rPr>
          <t>Derek Alan Washburn:</t>
        </r>
        <r>
          <rPr>
            <sz val="9"/>
            <color indexed="81"/>
            <rFont val="Tahoma"/>
            <family val="2"/>
          </rPr>
          <t xml:space="preserve">
Wheat can be double cropped with several crops. Savings from double crop include land rent, overhead, and nitrogen credits from previous crops such as soybeans. Here we do not include savings from nitrogen credits.</t>
        </r>
      </text>
    </comment>
  </commentList>
</comments>
</file>

<file path=xl/sharedStrings.xml><?xml version="1.0" encoding="utf-8"?>
<sst xmlns="http://schemas.openxmlformats.org/spreadsheetml/2006/main" count="627" uniqueCount="289">
  <si>
    <t>Corn</t>
  </si>
  <si>
    <t>Soybeans</t>
  </si>
  <si>
    <t>Wheat</t>
  </si>
  <si>
    <t>Gross Revenue</t>
  </si>
  <si>
    <t>Total Variable Costs</t>
  </si>
  <si>
    <t>Break Even Yield</t>
  </si>
  <si>
    <t>Break Even Price</t>
  </si>
  <si>
    <t>Current New Crop Basis</t>
  </si>
  <si>
    <t>Cotton Seed</t>
  </si>
  <si>
    <t>--</t>
  </si>
  <si>
    <t>Notes</t>
  </si>
  <si>
    <t>Return above Variable Costs</t>
  </si>
  <si>
    <t>Year</t>
  </si>
  <si>
    <t>Cotton</t>
  </si>
  <si>
    <t>bu/ac</t>
  </si>
  <si>
    <t>5-yr Aver</t>
  </si>
  <si>
    <t>3-yr Aver</t>
  </si>
  <si>
    <t>3-yr/5-yr</t>
  </si>
  <si>
    <t>Source: USDA, NASS</t>
  </si>
  <si>
    <t>Department of Agricultural and Resource Economics, NCSU</t>
  </si>
  <si>
    <t>Soybean</t>
  </si>
  <si>
    <t>Sorghum</t>
  </si>
  <si>
    <t xml:space="preserve">  INTEREST ON OP. CAP.</t>
  </si>
  <si>
    <t xml:space="preserve">  LAND RENT</t>
  </si>
  <si>
    <t xml:space="preserve">  SCOUT</t>
  </si>
  <si>
    <t xml:space="preserve">  LABOR</t>
  </si>
  <si>
    <t xml:space="preserve">  TRACTOR/MACHINERY</t>
  </si>
  <si>
    <t xml:space="preserve">  HAULING</t>
  </si>
  <si>
    <t xml:space="preserve">  INSECTICIDES</t>
  </si>
  <si>
    <t xml:space="preserve">  HERBICIDES</t>
  </si>
  <si>
    <t xml:space="preserve">    POTASH (0-0-60)</t>
  </si>
  <si>
    <t xml:space="preserve">    PHOSPHATE (0-46-0)</t>
  </si>
  <si>
    <t xml:space="preserve">    NITROGEN 30%</t>
  </si>
  <si>
    <t xml:space="preserve">  FERTILIZER </t>
  </si>
  <si>
    <t xml:space="preserve">  FUNGICIDES</t>
  </si>
  <si>
    <t xml:space="preserve">  SURFACTANT</t>
  </si>
  <si>
    <t xml:space="preserve">    BORON</t>
  </si>
  <si>
    <t xml:space="preserve">    SULFUR</t>
  </si>
  <si>
    <t xml:space="preserve">  GROWTH REG. &amp; DEFOLIANTS</t>
  </si>
  <si>
    <t xml:space="preserve">  CROP INSURANCE</t>
  </si>
  <si>
    <t>Total Cost</t>
  </si>
  <si>
    <t>Total Fixed Costs</t>
  </si>
  <si>
    <t>NET RETURNS TO FARMER AND RISK:</t>
  </si>
  <si>
    <t>Total Cost/ bu. - lb.</t>
  </si>
  <si>
    <t>Variable Cost/ bu. - lb.</t>
  </si>
  <si>
    <t>Income Above Variable Cost per bu. - lb.</t>
  </si>
  <si>
    <t>Net Return/ bu. - lb.</t>
  </si>
  <si>
    <t>Corn Acres</t>
  </si>
  <si>
    <t>Soy Acres</t>
  </si>
  <si>
    <t>Sorghum Acres</t>
  </si>
  <si>
    <t>Cotton Acres</t>
  </si>
  <si>
    <t>Double Crop Wheat Acres</t>
  </si>
  <si>
    <t>Potential Total Farm Income</t>
  </si>
  <si>
    <t>Total Farm Variable Cost</t>
  </si>
  <si>
    <t>Total Farm Cost</t>
  </si>
  <si>
    <t xml:space="preserve"> *TRACTOR/MACHINERY</t>
  </si>
  <si>
    <r>
      <t xml:space="preserve">Nick Piggott, </t>
    </r>
    <r>
      <rPr>
        <i/>
        <sz val="10"/>
        <color theme="1"/>
        <rFont val="Arial"/>
        <family val="2"/>
      </rPr>
      <t>Professor and Extension Specialist</t>
    </r>
  </si>
  <si>
    <r>
      <t xml:space="preserve">Derek Washburn, </t>
    </r>
    <r>
      <rPr>
        <i/>
        <sz val="10"/>
        <color theme="1"/>
        <rFont val="Arial"/>
        <family val="2"/>
      </rPr>
      <t>Program Associate</t>
    </r>
  </si>
  <si>
    <r>
      <t xml:space="preserve">Cotton </t>
    </r>
    <r>
      <rPr>
        <sz val="12"/>
        <color theme="1"/>
        <rFont val="Arial"/>
        <family val="2"/>
      </rPr>
      <t>(ginning not included)</t>
    </r>
  </si>
  <si>
    <t>Wheat only Acres</t>
  </si>
  <si>
    <t>Break Even Yield % of 5 yr. aver.</t>
  </si>
  <si>
    <t>*Machinery fixed cost are based on a average between new and 3 year old equipment, ownership cost assumes taxes, insurance, and depreciation cost equal to purchase price - used value /years of ownership</t>
  </si>
  <si>
    <t>Yield (lbs./acre)--Cotton Seed</t>
  </si>
  <si>
    <t>Cost and Income Summary Table</t>
  </si>
  <si>
    <r>
      <t>Yield (bu/acre)</t>
    </r>
    <r>
      <rPr>
        <b/>
        <vertAlign val="superscript"/>
        <sz val="12"/>
        <color theme="1"/>
        <rFont val="Arial"/>
        <family val="2"/>
      </rPr>
      <t>1</t>
    </r>
    <r>
      <rPr>
        <b/>
        <sz val="12"/>
        <color theme="1"/>
        <rFont val="Arial"/>
        <family val="2"/>
      </rPr>
      <t xml:space="preserve"> </t>
    </r>
  </si>
  <si>
    <t xml:space="preserve">Assumptions: </t>
  </si>
  <si>
    <t>***Crop insurance costs are estimated 2018 "Producer Premium Amount" (in $/acre) for Revenue Protection Insurance based on the RMA Cost Estimator (subsidy is applied)</t>
  </si>
  <si>
    <t xml:space="preserve">    DAP (18-46-0)</t>
  </si>
  <si>
    <t>SOYBEANS</t>
  </si>
  <si>
    <t>MOUNTAIN</t>
  </si>
  <si>
    <t>BUNCOMBE</t>
  </si>
  <si>
    <t>Average</t>
  </si>
  <si>
    <t>CHEROKEE</t>
  </si>
  <si>
    <t>HENDERSON</t>
  </si>
  <si>
    <t>Median</t>
  </si>
  <si>
    <t>MACON</t>
  </si>
  <si>
    <t>MCDOWELL</t>
  </si>
  <si>
    <t>Range</t>
  </si>
  <si>
    <t>TRANSYLVANIA</t>
  </si>
  <si>
    <t>PIEDMONT</t>
  </si>
  <si>
    <t>ALAMANCE</t>
  </si>
  <si>
    <t>ALEXANDER</t>
  </si>
  <si>
    <t>ANSON</t>
  </si>
  <si>
    <t>BURKE</t>
  </si>
  <si>
    <t>CABARRUS</t>
  </si>
  <si>
    <t>GASTON</t>
  </si>
  <si>
    <t>CASWELL</t>
  </si>
  <si>
    <t>CATAWBA</t>
  </si>
  <si>
    <t>CHATHAM</t>
  </si>
  <si>
    <t>CLEVELAND</t>
  </si>
  <si>
    <t>DAVIDSON</t>
  </si>
  <si>
    <t>DAVIE</t>
  </si>
  <si>
    <t>FORSYTH</t>
  </si>
  <si>
    <t>FRANKLIN</t>
  </si>
  <si>
    <t>GRANVILLE</t>
  </si>
  <si>
    <t>GUILFORD</t>
  </si>
  <si>
    <t>IREDELL</t>
  </si>
  <si>
    <t>LINCOLN</t>
  </si>
  <si>
    <t>MONTGOMERY</t>
  </si>
  <si>
    <t>ORANGE</t>
  </si>
  <si>
    <t>PERSON</t>
  </si>
  <si>
    <t>RANDOLPH</t>
  </si>
  <si>
    <t>ROCKINGHAM</t>
  </si>
  <si>
    <t>ROWAN</t>
  </si>
  <si>
    <t>RUTHERFORD</t>
  </si>
  <si>
    <t>STANLY</t>
  </si>
  <si>
    <t>STOKES</t>
  </si>
  <si>
    <t>SURRY</t>
  </si>
  <si>
    <t>UNION</t>
  </si>
  <si>
    <t>WAKE</t>
  </si>
  <si>
    <t>WILKES</t>
  </si>
  <si>
    <t>VANCE</t>
  </si>
  <si>
    <t>WARREN</t>
  </si>
  <si>
    <t>RICHMOND</t>
  </si>
  <si>
    <t>MECKLENBURG</t>
  </si>
  <si>
    <t>YADKIN</t>
  </si>
  <si>
    <t>SANDHILLS</t>
  </si>
  <si>
    <t>HOKE</t>
  </si>
  <si>
    <t>LEE</t>
  </si>
  <si>
    <t>MOORE</t>
  </si>
  <si>
    <t>SCOTLAND</t>
  </si>
  <si>
    <t>COASTAL PLAIN</t>
  </si>
  <si>
    <t>BERTIE</t>
  </si>
  <si>
    <t>BLADEN</t>
  </si>
  <si>
    <t>COLUMBUS</t>
  </si>
  <si>
    <t>CUMBERLAND</t>
  </si>
  <si>
    <t>DUPLIN</t>
  </si>
  <si>
    <t>EDGECOMBE</t>
  </si>
  <si>
    <t>GATES</t>
  </si>
  <si>
    <t>GREENE</t>
  </si>
  <si>
    <t>HALIFAX</t>
  </si>
  <si>
    <t>HARNETT</t>
  </si>
  <si>
    <t>HERTFORD</t>
  </si>
  <si>
    <t>JOHNSTON</t>
  </si>
  <si>
    <t>JONES</t>
  </si>
  <si>
    <t>LENOIR</t>
  </si>
  <si>
    <t>MARTIN</t>
  </si>
  <si>
    <t>NASH</t>
  </si>
  <si>
    <t>NORTHAMPTON</t>
  </si>
  <si>
    <t>PITT</t>
  </si>
  <si>
    <t>ROBESON</t>
  </si>
  <si>
    <t>SAMPSON</t>
  </si>
  <si>
    <t>WAYNE</t>
  </si>
  <si>
    <t>WILSON</t>
  </si>
  <si>
    <t>TIDEWATER</t>
  </si>
  <si>
    <t>BEAUFORT</t>
  </si>
  <si>
    <t>CAMDEN</t>
  </si>
  <si>
    <t>CHOWAN</t>
  </si>
  <si>
    <t>CRAVEN</t>
  </si>
  <si>
    <t>CURRITUCK</t>
  </si>
  <si>
    <t>HYDE</t>
  </si>
  <si>
    <t>PAMLICO</t>
  </si>
  <si>
    <t>PASQUOTANK</t>
  </si>
  <si>
    <t>PERQUIMANS</t>
  </si>
  <si>
    <t>TYRRELL</t>
  </si>
  <si>
    <t>WASHINGTON</t>
  </si>
  <si>
    <t>BRUNSWICK</t>
  </si>
  <si>
    <t>ONSLOW</t>
  </si>
  <si>
    <t>PENDER</t>
  </si>
  <si>
    <t>OTHER COUNTIES COMBINED</t>
  </si>
  <si>
    <t xml:space="preserve">CORN </t>
  </si>
  <si>
    <t>CALDWELL</t>
  </si>
  <si>
    <t>Peanuts</t>
  </si>
  <si>
    <t>Tobacco</t>
  </si>
  <si>
    <t>lbs/ac</t>
  </si>
  <si>
    <t>Peanut Acres</t>
  </si>
  <si>
    <t>Tobacco Acres</t>
  </si>
  <si>
    <t>Peanut</t>
  </si>
  <si>
    <t xml:space="preserve">  SEED or TRANSPLANTS</t>
  </si>
  <si>
    <t>Yield (lbs./acre)--Cotton, Peanuts and Tobacco</t>
  </si>
  <si>
    <r>
      <t xml:space="preserve">  LIME</t>
    </r>
    <r>
      <rPr>
        <sz val="10"/>
        <color indexed="8"/>
        <rFont val="Arial"/>
        <family val="2"/>
      </rPr>
      <t xml:space="preserve"> (PRORATED)</t>
    </r>
  </si>
  <si>
    <r>
      <t xml:space="preserve">  GYPSUM </t>
    </r>
    <r>
      <rPr>
        <sz val="10"/>
        <color indexed="8"/>
        <rFont val="Arial"/>
        <family val="2"/>
      </rPr>
      <t>(SPREAD)</t>
    </r>
  </si>
  <si>
    <t xml:space="preserve">  DRYING</t>
  </si>
  <si>
    <t xml:space="preserve">  INOCULANT</t>
  </si>
  <si>
    <t xml:space="preserve">    MANGANESE</t>
  </si>
  <si>
    <r>
      <t xml:space="preserve">  NATIONAL ASSESMENT </t>
    </r>
    <r>
      <rPr>
        <sz val="8"/>
        <color indexed="8"/>
        <rFont val="Arial"/>
        <family val="2"/>
      </rPr>
      <t>(PEANUTS)</t>
    </r>
  </si>
  <si>
    <r>
      <t xml:space="preserve">  STATE CHECK-OFF FEE </t>
    </r>
    <r>
      <rPr>
        <sz val="8"/>
        <color indexed="8"/>
        <rFont val="Arial"/>
        <family val="2"/>
      </rPr>
      <t>(PEANUTS)</t>
    </r>
  </si>
  <si>
    <t xml:space="preserve">  AERIAL APPLICATION</t>
  </si>
  <si>
    <t xml:space="preserve">  MULTIPURPOSE FUMIGATION</t>
  </si>
  <si>
    <t xml:space="preserve">    0-0-50 POTASSIUM SULFATE</t>
  </si>
  <si>
    <t xml:space="preserve">  SUCKER CONTROL</t>
  </si>
  <si>
    <t xml:space="preserve">  ELECTRICITY</t>
  </si>
  <si>
    <t xml:space="preserve">  CURING FUEL</t>
  </si>
  <si>
    <t xml:space="preserve">  BAILING SUPPLIES</t>
  </si>
  <si>
    <t xml:space="preserve">  COVER CROP</t>
  </si>
  <si>
    <t>-</t>
  </si>
  <si>
    <t>Variable Cost per Acre</t>
  </si>
  <si>
    <t>Total Cost Per Acre</t>
  </si>
  <si>
    <t>Income Above Variable Cost per Acre</t>
  </si>
  <si>
    <t>Three Year Average by County</t>
  </si>
  <si>
    <t>Region</t>
  </si>
  <si>
    <t>N/A</t>
  </si>
  <si>
    <t>Farm Total</t>
  </si>
  <si>
    <t>FARM OVERHEAD</t>
  </si>
  <si>
    <t>Only enter values in yellow cells</t>
  </si>
  <si>
    <t>Farm Income Over Variable Cost</t>
  </si>
  <si>
    <t>Farm Return</t>
  </si>
  <si>
    <t>Farm Overhead by Acres/Crop</t>
  </si>
  <si>
    <t>Net Farm Return</t>
  </si>
  <si>
    <t>TOTAL FARM PROGRAM PAYMENTS BY ACRE</t>
  </si>
  <si>
    <t>TOTAL FARM OVERHEAD PER ACRE</t>
  </si>
  <si>
    <t xml:space="preserve">  GINNING**</t>
  </si>
  <si>
    <t xml:space="preserve">  CROP INSURANCE***</t>
  </si>
  <si>
    <t>Soy: Beaufort county, 75% coverage level, 38 bu/ac approved/rate yield, $10.09/bu projected price, non-irrigated, soybean cost of production comes from the 2020 soybean coventional budget</t>
  </si>
  <si>
    <t>Corn: Robeson county, 75% coverage level, 104 bu/ac approved/rate yield, $3.91/bu projected price, non-irrigated, corn cost of production comes from the 2020 corn conventional budget</t>
  </si>
  <si>
    <t>Wheat: Union county, 75% coverage level, 62 bu/ac approved/rate yield, $4.87/bu projected price, winter wheat, non-irrigated, wheat cost comes from the 2020 Conventional wheat budget</t>
  </si>
  <si>
    <t>Sorghum: Johnston county, 75% coverage level, 36 bu/ac approved/rate yield, $3.78/bu projected price, non-irrigated, cost of production comes from the 2020 Conventional Sorghum budget</t>
  </si>
  <si>
    <t>Cotton: Northampton county, 75% coverage level, 871 lbs/ac approved/rate yield, $0.75/bu projected price, non-irrigated- Cotton cost of production comes from the 2020 strip till budget, this budget includes the cost and labor associated with a tractor mounted sprayer, cotton picker, module builder, and bale hauler. Other cotton budgets utilize a 100ft boom sprayer and cotton picker/bailer with a bale hauler</t>
  </si>
  <si>
    <t>Tobacco: cost of production comes from the 2020 East Machine Harvest budget</t>
  </si>
  <si>
    <t>Peanuts: peanut cost of production comes from the 2020 Conventional Virginia Type budget</t>
  </si>
  <si>
    <t xml:space="preserve">Notes: (1) County selection for insurance cost for each crop above based on the no. 1 producing county in NC for 2017 </t>
  </si>
  <si>
    <t xml:space="preserve">           (2) Approved/rate yield based on historical county average for those counties</t>
  </si>
  <si>
    <t>Bulk Barn, Tobacco Loading system, Bailer, H2A overhead (for tobacco only)</t>
  </si>
  <si>
    <t xml:space="preserve">**estimated ginning cost per lb is </t>
  </si>
  <si>
    <t>Program Payments by Total Crop Acerage from column C</t>
  </si>
  <si>
    <t>https://cals.ncsu.edu/are-extension/business-planning-and-operations/enterprise-budgets/</t>
  </si>
  <si>
    <t>Sweet Potatoes</t>
  </si>
  <si>
    <t xml:space="preserve">    24S LIQUID</t>
  </si>
  <si>
    <t xml:space="preserve">  NEMATICIDES</t>
  </si>
  <si>
    <t>****Harvest Cost and Storage cost are tied directly to sweet potato harvest in bushels per acre at $1.50 and $1.00 respectively</t>
  </si>
  <si>
    <t xml:space="preserve">  HARVEST COST****</t>
  </si>
  <si>
    <t>--------------------------------------------------------------------------------FARM OVERHEAD IS INCLUDED ON THE CROP AND FARM SUMMARY SHEET------------------------------------------------------------------------------------------------</t>
  </si>
  <si>
    <t>sweet potatoes lb/bu conversion</t>
  </si>
  <si>
    <t>lbs</t>
  </si>
  <si>
    <t>Net Return per Acre</t>
  </si>
  <si>
    <t xml:space="preserve">  STORAGE COST****</t>
  </si>
  <si>
    <t xml:space="preserve">    Enter Average Land Rent Value Here</t>
  </si>
  <si>
    <t xml:space="preserve">   15.5-0-0</t>
  </si>
  <si>
    <r>
      <t>EXPECTED NET PRICE (New Crop Futures + Basis)</t>
    </r>
    <r>
      <rPr>
        <b/>
        <vertAlign val="superscript"/>
        <sz val="10"/>
        <color theme="1"/>
        <rFont val="Arial"/>
        <family val="2"/>
      </rPr>
      <t>2</t>
    </r>
  </si>
  <si>
    <t>Downloaded (10/19/2021)</t>
  </si>
  <si>
    <t>Program</t>
  </si>
  <si>
    <t>Period</t>
  </si>
  <si>
    <t>State</t>
  </si>
  <si>
    <t>Commodity</t>
  </si>
  <si>
    <t>Data Item</t>
  </si>
  <si>
    <t>Value</t>
  </si>
  <si>
    <t>SURVEY</t>
  </si>
  <si>
    <t>YEAR</t>
  </si>
  <si>
    <t>NORTH CAROLINA</t>
  </si>
  <si>
    <t>CORN</t>
  </si>
  <si>
    <t>CORN, GRAIN - YIELD, MEASURED IN BU / ACRE</t>
  </si>
  <si>
    <t>COTTON</t>
  </si>
  <si>
    <t>COTTON - YIELD, MEASURED IN LB / ACRE</t>
  </si>
  <si>
    <t>PEANUTS</t>
  </si>
  <si>
    <t>PEANUTS - YIELD, MEASURED IN LB / ACRE</t>
  </si>
  <si>
    <t>SORGHUM</t>
  </si>
  <si>
    <t>SORGHUM, GRAIN - YIELD, MEASURED IN BU / ACRE</t>
  </si>
  <si>
    <t>SOYBEANS - YIELD, MEASURED IN BU / ACRE</t>
  </si>
  <si>
    <t>TOBACCO</t>
  </si>
  <si>
    <t>TOBACCO - YIELD, MEASURED IN LB / ACRE</t>
  </si>
  <si>
    <t>WHEAT</t>
  </si>
  <si>
    <t>WHEAT - YIELD, MEASURED IN BU / ACRE</t>
  </si>
  <si>
    <t>Budgeted Yield/5yr State Aver</t>
  </si>
  <si>
    <r>
      <t xml:space="preserve">Price </t>
    </r>
    <r>
      <rPr>
        <b/>
        <sz val="11"/>
        <color theme="1"/>
        <rFont val="Arial"/>
        <family val="2"/>
      </rPr>
      <t>(New Crop Futures Price from CME &amp; NYBOT 10/19/2021) or contract price</t>
    </r>
  </si>
  <si>
    <t xml:space="preserve">  LIME (PRORATED)</t>
  </si>
  <si>
    <t>2022 ESTIMATED GROSS RECIEPTS</t>
  </si>
  <si>
    <r>
      <t>2021 ESTIMATED VARIABLE EXPENSES</t>
    </r>
    <r>
      <rPr>
        <b/>
        <vertAlign val="superscript"/>
        <sz val="14"/>
        <color theme="1"/>
        <rFont val="Arial"/>
        <family val="2"/>
      </rPr>
      <t>1</t>
    </r>
  </si>
  <si>
    <t>Budget Comparison 2021 Crop Year Cost &amp; 2022 Market Conditions With Given Yields</t>
  </si>
  <si>
    <t>2021 ESTIMATED FIXED EXPENSES</t>
  </si>
  <si>
    <t>Other Input Cost</t>
  </si>
  <si>
    <t xml:space="preserve">  ---------------------------------------------SEED or TRANSPLANT COST BY CROP</t>
  </si>
  <si>
    <t>Enter the % Increase Multiplier In Cost for the Featured Input</t>
  </si>
  <si>
    <t>Total  Cost Summary from Crop Comparison Sheet</t>
  </si>
  <si>
    <t>Additional Input Costs per Acre</t>
  </si>
  <si>
    <t>of Cost Listed Above as a % of Total Variable Input Cost</t>
  </si>
  <si>
    <t>Projected NET RETURNS TO FARMER AND RISK PER ACRE</t>
  </si>
  <si>
    <t>Net Return Difference PER ACRE (Row 20 - Row 49)</t>
  </si>
  <si>
    <t>Total  Featured Input Costs PER ACRE</t>
  </si>
  <si>
    <t>Total % Increase in Featured Input Costs PER ACRE</t>
  </si>
  <si>
    <t>2022 Estimated Gross Reciepts from Crop Comparison Sheet, No Change</t>
  </si>
  <si>
    <t>2021 Featured Input Costs from Crop Comparison Sheet, No Change</t>
  </si>
  <si>
    <t>2022 Projected Input Costs Using % Mulitplyer from Yellow Cells</t>
  </si>
  <si>
    <t>Gins Margin on Cotton Seed per .lb of cotton ginned</t>
  </si>
  <si>
    <t>Market Income Prepared on (10/19/2021):</t>
  </si>
  <si>
    <t>Inflation Numbers prepared 11/24/21 based on NCDA Cost Report</t>
  </si>
  <si>
    <t xml:space="preserve">    *NITROGEN 30%</t>
  </si>
  <si>
    <t xml:space="preserve">    *DAP (18-46-0)</t>
  </si>
  <si>
    <t xml:space="preserve">   *15.5-0-0</t>
  </si>
  <si>
    <t xml:space="preserve">   * PHOSPHATE (0-46-0)</t>
  </si>
  <si>
    <t xml:space="preserve">    *POTASH (0-0-60)</t>
  </si>
  <si>
    <t>*Inflation Numbers prepared 11/24/21 based on NCDA Cost Report</t>
  </si>
  <si>
    <t>**Pesticide Numbers are estimated only, no good data was avaiable in late 2021</t>
  </si>
  <si>
    <t xml:space="preserve">  **HERBICIDES</t>
  </si>
  <si>
    <t xml:space="preserve">  **NEMATICIDES</t>
  </si>
  <si>
    <t xml:space="preserve">  **FUNGICIDES</t>
  </si>
  <si>
    <t xml:space="preserve">  **INSECTICIDES</t>
  </si>
  <si>
    <t xml:space="preserve">  **SUCKER CONTROL</t>
  </si>
  <si>
    <t xml:space="preserve">  **GROWTH REG. &amp; DEFOLIANTS</t>
  </si>
  <si>
    <t xml:space="preserve">  **SURFACTANT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</si>
</sst>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4" formatCode="_(&quot;$&quot;* #,##0.00_);_(&quot;$&quot;* \(#,##0.00\);_(&quot;$&quot;* &quot;-&quot;??_);_(@_)"/>
    <numFmt numFmtId="164" formatCode="&quot;$&quot;#,##0.00"/>
    <numFmt numFmtId="165" formatCode="0.0%"/>
    <numFmt numFmtId="166" formatCode="&quot;$&quot;#,##0.000_);[Red]\(&quot;$&quot;#,##0.000\)"/>
  </numFmts>
  <fonts count="4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1"/>
      <name val="Arial"/>
      <family val="2"/>
    </font>
    <font>
      <b/>
      <sz val="10"/>
      <color theme="1"/>
      <name val="Arial"/>
      <family val="2"/>
    </font>
    <font>
      <sz val="10"/>
      <color theme="1"/>
      <name val="Arial"/>
      <family val="2"/>
    </font>
    <font>
      <sz val="10"/>
      <color theme="1"/>
      <name val="Calibri"/>
      <family val="2"/>
      <scheme val="minor"/>
    </font>
    <font>
      <b/>
      <sz val="12"/>
      <color theme="1"/>
      <name val="Arial"/>
      <family val="2"/>
    </font>
    <font>
      <sz val="36"/>
      <color rgb="FFFFFFFF"/>
      <name val="Arial"/>
      <family val="2"/>
    </font>
    <font>
      <sz val="12"/>
      <color rgb="FFFFFFFF"/>
      <name val="Arial"/>
      <family val="2"/>
    </font>
    <font>
      <sz val="12"/>
      <color indexed="8"/>
      <name val="Arial"/>
      <family val="2"/>
    </font>
    <font>
      <b/>
      <sz val="12"/>
      <color indexed="8"/>
      <name val="Arial"/>
      <family val="2"/>
    </font>
    <font>
      <sz val="9"/>
      <color indexed="81"/>
      <name val="Tahoma"/>
      <family val="2"/>
    </font>
    <font>
      <b/>
      <sz val="9"/>
      <color indexed="81"/>
      <name val="Tahoma"/>
      <family val="2"/>
    </font>
    <font>
      <sz val="12"/>
      <color theme="1"/>
      <name val="Arial"/>
      <family val="2"/>
    </font>
    <font>
      <b/>
      <sz val="36"/>
      <color rgb="FFFFFFFF"/>
      <name val="Arial"/>
      <family val="2"/>
    </font>
    <font>
      <b/>
      <sz val="18"/>
      <color rgb="FFFFFFFF"/>
      <name val="Arial"/>
      <family val="2"/>
    </font>
    <font>
      <i/>
      <sz val="10"/>
      <color theme="1"/>
      <name val="Arial"/>
      <family val="2"/>
    </font>
    <font>
      <sz val="9"/>
      <color theme="1"/>
      <name val="Arial"/>
      <family val="2"/>
    </font>
    <font>
      <b/>
      <vertAlign val="superscript"/>
      <sz val="12"/>
      <color theme="1"/>
      <name val="Arial"/>
      <family val="2"/>
    </font>
    <font>
      <b/>
      <sz val="11"/>
      <color theme="1"/>
      <name val="Calibri"/>
      <family val="2"/>
      <scheme val="minor"/>
    </font>
    <font>
      <b/>
      <sz val="16"/>
      <color theme="1"/>
      <name val="Calibri"/>
      <family val="2"/>
      <scheme val="minor"/>
    </font>
    <font>
      <b/>
      <sz val="14"/>
      <color theme="1"/>
      <name val="Calibri"/>
      <family val="2"/>
      <scheme val="minor"/>
    </font>
    <font>
      <sz val="10"/>
      <color indexed="8"/>
      <name val="Arial"/>
      <family val="2"/>
    </font>
    <font>
      <sz val="8"/>
      <color indexed="8"/>
      <name val="Arial"/>
      <family val="2"/>
    </font>
    <font>
      <b/>
      <sz val="18"/>
      <color theme="1"/>
      <name val="Calibri"/>
      <family val="2"/>
      <scheme val="minor"/>
    </font>
    <font>
      <b/>
      <sz val="16"/>
      <color theme="1"/>
      <name val="Arial"/>
      <family val="2"/>
    </font>
    <font>
      <sz val="8"/>
      <color theme="1"/>
      <name val="Arial"/>
      <family val="2"/>
    </font>
    <font>
      <b/>
      <sz val="12"/>
      <color rgb="FFFFFFFF"/>
      <name val="Arial"/>
      <family val="2"/>
    </font>
    <font>
      <b/>
      <sz val="12"/>
      <name val="Arial"/>
      <family val="2"/>
    </font>
    <font>
      <u/>
      <sz val="11"/>
      <color theme="10"/>
      <name val="Calibri"/>
      <family val="2"/>
      <scheme val="minor"/>
    </font>
    <font>
      <sz val="11"/>
      <color rgb="FFC00000"/>
      <name val="Arial"/>
      <family val="2"/>
    </font>
    <font>
      <sz val="12"/>
      <name val="Arial"/>
      <family val="2"/>
    </font>
    <font>
      <b/>
      <vertAlign val="superscript"/>
      <sz val="10"/>
      <color theme="1"/>
      <name val="Arial"/>
      <family val="2"/>
    </font>
    <font>
      <b/>
      <sz val="14"/>
      <color theme="1"/>
      <name val="Arial"/>
      <family val="2"/>
    </font>
    <font>
      <b/>
      <sz val="14"/>
      <color rgb="FFFF0000"/>
      <name val="Arial"/>
      <family val="2"/>
    </font>
    <font>
      <b/>
      <vertAlign val="superscript"/>
      <sz val="14"/>
      <color theme="1"/>
      <name val="Arial"/>
      <family val="2"/>
    </font>
    <font>
      <b/>
      <sz val="18"/>
      <color theme="1"/>
      <name val="Arial"/>
      <family val="2"/>
    </font>
    <font>
      <b/>
      <sz val="16"/>
      <color rgb="FFFF0000"/>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bgColor indexed="64"/>
      </patternFill>
    </fill>
    <fill>
      <patternFill patternType="solid">
        <fgColor rgb="FFCC99FF"/>
        <bgColor indexed="64"/>
      </patternFill>
    </fill>
    <fill>
      <patternFill patternType="solid">
        <fgColor theme="7"/>
        <bgColor indexed="64"/>
      </patternFill>
    </fill>
    <fill>
      <patternFill patternType="gray125">
        <bgColor rgb="FF92D050"/>
      </patternFill>
    </fill>
    <fill>
      <patternFill patternType="solid">
        <fgColor rgb="FF92D050"/>
        <bgColor indexed="64"/>
      </patternFill>
    </fill>
    <fill>
      <patternFill patternType="solid">
        <fgColor theme="4" tint="0.59996337778862885"/>
        <bgColor indexed="64"/>
      </patternFill>
    </fill>
    <fill>
      <patternFill patternType="solid">
        <fgColor theme="4" tint="0.59999389629810485"/>
        <bgColor indexed="64"/>
      </patternFill>
    </fill>
    <fill>
      <patternFill patternType="solid">
        <fgColor rgb="FFC00000"/>
        <bgColor indexed="64"/>
      </patternFill>
    </fill>
    <fill>
      <patternFill patternType="solid">
        <fgColor theme="8" tint="0.39997558519241921"/>
        <bgColor indexed="64"/>
      </patternFill>
    </fill>
    <fill>
      <patternFill patternType="solid">
        <fgColor theme="0"/>
        <bgColor indexed="64"/>
      </patternFill>
    </fill>
  </fills>
  <borders count="26">
    <border>
      <left/>
      <right/>
      <top/>
      <bottom/>
      <diagonal/>
    </border>
    <border>
      <left/>
      <right/>
      <top/>
      <bottom style="thick">
        <color auto="1"/>
      </bottom>
      <diagonal/>
    </border>
    <border>
      <left/>
      <right/>
      <top style="thick">
        <color auto="1"/>
      </top>
      <bottom style="thick">
        <color auto="1"/>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style="thick">
        <color auto="1"/>
      </left>
      <right/>
      <top style="thick">
        <color auto="1"/>
      </top>
      <bottom style="thick">
        <color auto="1"/>
      </bottom>
      <diagonal/>
    </border>
    <border>
      <left style="thick">
        <color auto="1"/>
      </left>
      <right/>
      <top/>
      <bottom style="thick">
        <color auto="1"/>
      </bottom>
      <diagonal/>
    </border>
    <border>
      <left/>
      <right style="thick">
        <color auto="1"/>
      </right>
      <top/>
      <bottom style="thick">
        <color auto="1"/>
      </bottom>
      <diagonal/>
    </border>
    <border>
      <left/>
      <right style="thick">
        <color auto="1"/>
      </right>
      <top style="thick">
        <color auto="1"/>
      </top>
      <bottom style="thick">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ck">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cellStyleXfs>
  <cellXfs count="260">
    <xf numFmtId="0" fontId="0" fillId="0" borderId="0" xfId="0"/>
    <xf numFmtId="1" fontId="5" fillId="5" borderId="2" xfId="0" applyNumberFormat="1" applyFont="1" applyFill="1" applyBorder="1"/>
    <xf numFmtId="1" fontId="6" fillId="6" borderId="2" xfId="0" applyNumberFormat="1" applyFont="1" applyFill="1" applyBorder="1" applyAlignment="1">
      <alignment horizontal="right"/>
    </xf>
    <xf numFmtId="0" fontId="6" fillId="0" borderId="4" xfId="0" applyFont="1" applyBorder="1"/>
    <xf numFmtId="0" fontId="6" fillId="0" borderId="3" xfId="0" applyFont="1" applyBorder="1" applyAlignment="1">
      <alignment horizontal="center"/>
    </xf>
    <xf numFmtId="0" fontId="6" fillId="0" borderId="5" xfId="0" applyFont="1" applyBorder="1"/>
    <xf numFmtId="0" fontId="6" fillId="0" borderId="0" xfId="0" applyFont="1" applyBorder="1" applyAlignment="1">
      <alignment horizontal="center"/>
    </xf>
    <xf numFmtId="0" fontId="6" fillId="5" borderId="7" xfId="0" applyFont="1" applyFill="1" applyBorder="1"/>
    <xf numFmtId="0" fontId="6" fillId="6" borderId="7" xfId="0" applyFont="1" applyFill="1" applyBorder="1"/>
    <xf numFmtId="165" fontId="6" fillId="0" borderId="0" xfId="0" applyNumberFormat="1" applyFont="1" applyBorder="1"/>
    <xf numFmtId="0" fontId="6" fillId="0" borderId="8" xfId="0" applyFont="1" applyBorder="1"/>
    <xf numFmtId="0" fontId="7" fillId="0" borderId="1" xfId="0" applyFont="1" applyBorder="1"/>
    <xf numFmtId="2" fontId="11" fillId="0" borderId="0" xfId="0" applyNumberFormat="1" applyFont="1" applyFill="1" applyBorder="1" applyAlignment="1" applyProtection="1">
      <protection locked="0"/>
    </xf>
    <xf numFmtId="2" fontId="11" fillId="0" borderId="0" xfId="0" applyNumberFormat="1" applyFont="1" applyFill="1" applyAlignment="1" applyProtection="1">
      <protection locked="0"/>
    </xf>
    <xf numFmtId="0" fontId="6" fillId="0" borderId="6" xfId="0" applyFont="1" applyFill="1" applyBorder="1" applyAlignment="1">
      <alignment horizontal="center"/>
    </xf>
    <xf numFmtId="0" fontId="0" fillId="0" borderId="6" xfId="0" applyBorder="1"/>
    <xf numFmtId="0" fontId="0" fillId="0" borderId="9" xfId="0" applyBorder="1"/>
    <xf numFmtId="0" fontId="0" fillId="0" borderId="6" xfId="0" applyBorder="1" applyAlignment="1">
      <alignment horizontal="center"/>
    </xf>
    <xf numFmtId="2" fontId="12" fillId="0" borderId="0" xfId="0" applyNumberFormat="1" applyFont="1" applyFill="1" applyBorder="1" applyAlignment="1" applyProtection="1">
      <protection locked="0"/>
    </xf>
    <xf numFmtId="0" fontId="15" fillId="0" borderId="0" xfId="0" applyFont="1"/>
    <xf numFmtId="0" fontId="8" fillId="0" borderId="0" xfId="0" applyFont="1" applyProtection="1">
      <protection locked="0"/>
    </xf>
    <xf numFmtId="0" fontId="3" fillId="0" borderId="0" xfId="0" applyFont="1" applyProtection="1">
      <protection locked="0"/>
    </xf>
    <xf numFmtId="0" fontId="3" fillId="0" borderId="0" xfId="0" applyFont="1" applyAlignment="1" applyProtection="1">
      <alignment horizontal="center"/>
      <protection locked="0"/>
    </xf>
    <xf numFmtId="0" fontId="2" fillId="3" borderId="1" xfId="0" applyFont="1" applyFill="1" applyBorder="1" applyProtection="1">
      <protection locked="0"/>
    </xf>
    <xf numFmtId="164" fontId="2" fillId="3" borderId="1" xfId="0" applyNumberFormat="1" applyFont="1" applyFill="1" applyBorder="1" applyProtection="1">
      <protection locked="0"/>
    </xf>
    <xf numFmtId="0" fontId="4" fillId="3" borderId="1" xfId="0" applyFont="1" applyFill="1" applyBorder="1" applyProtection="1">
      <protection locked="0"/>
    </xf>
    <xf numFmtId="8" fontId="2" fillId="3" borderId="1" xfId="0" applyNumberFormat="1" applyFont="1" applyFill="1" applyBorder="1" applyAlignment="1" applyProtection="1">
      <alignment horizontal="right"/>
      <protection locked="0"/>
    </xf>
    <xf numFmtId="0" fontId="2" fillId="0" borderId="0" xfId="0" applyFont="1" applyAlignment="1" applyProtection="1">
      <alignment horizontal="center"/>
      <protection locked="0"/>
    </xf>
    <xf numFmtId="44" fontId="2" fillId="0" borderId="0" xfId="1" applyFont="1" applyAlignment="1" applyProtection="1">
      <alignment horizontal="center"/>
      <protection locked="0"/>
    </xf>
    <xf numFmtId="0" fontId="2" fillId="4" borderId="0" xfId="0" applyFont="1" applyFill="1" applyAlignment="1" applyProtection="1">
      <alignment horizontal="center"/>
      <protection locked="0"/>
    </xf>
    <xf numFmtId="1" fontId="2" fillId="4" borderId="0" xfId="0" applyNumberFormat="1" applyFont="1" applyFill="1" applyAlignment="1" applyProtection="1">
      <alignment horizontal="right"/>
      <protection locked="0"/>
    </xf>
    <xf numFmtId="8" fontId="2" fillId="4" borderId="0" xfId="0" applyNumberFormat="1" applyFont="1" applyFill="1" applyAlignment="1" applyProtection="1">
      <alignment horizontal="right"/>
      <protection locked="0"/>
    </xf>
    <xf numFmtId="0" fontId="2" fillId="0" borderId="1" xfId="0" applyFont="1" applyBorder="1" applyAlignment="1" applyProtection="1">
      <alignment horizontal="center"/>
      <protection locked="0"/>
    </xf>
    <xf numFmtId="165" fontId="2" fillId="0" borderId="1" xfId="0" applyNumberFormat="1" applyFont="1" applyBorder="1" applyAlignment="1" applyProtection="1">
      <alignment horizontal="right"/>
      <protection locked="0"/>
    </xf>
    <xf numFmtId="0" fontId="6" fillId="0" borderId="0" xfId="0" applyFont="1" applyAlignment="1" applyProtection="1">
      <alignment horizontal="left"/>
      <protection locked="0"/>
    </xf>
    <xf numFmtId="8" fontId="8" fillId="8" borderId="2" xfId="1" applyNumberFormat="1" applyFont="1" applyFill="1" applyBorder="1" applyAlignment="1" applyProtection="1">
      <alignment horizontal="right"/>
      <protection locked="0"/>
    </xf>
    <xf numFmtId="0" fontId="4" fillId="3" borderId="14" xfId="0" applyFont="1" applyFill="1" applyBorder="1" applyProtection="1">
      <protection locked="0"/>
    </xf>
    <xf numFmtId="164" fontId="2" fillId="3" borderId="14" xfId="0" applyNumberFormat="1" applyFont="1" applyFill="1" applyBorder="1" applyProtection="1">
      <protection locked="0"/>
    </xf>
    <xf numFmtId="164" fontId="15" fillId="0" borderId="0" xfId="0" applyNumberFormat="1" applyFont="1" applyProtection="1">
      <protection locked="0"/>
    </xf>
    <xf numFmtId="0" fontId="6" fillId="0" borderId="0" xfId="0" applyFont="1" applyProtection="1">
      <protection locked="0"/>
    </xf>
    <xf numFmtId="0" fontId="3" fillId="0" borderId="0" xfId="0" applyFont="1"/>
    <xf numFmtId="0" fontId="2" fillId="0" borderId="0" xfId="0" applyFont="1" applyAlignment="1">
      <alignment horizontal="center" wrapText="1"/>
    </xf>
    <xf numFmtId="0" fontId="3" fillId="0" borderId="0" xfId="0" applyFont="1" applyFill="1"/>
    <xf numFmtId="0" fontId="3" fillId="0" borderId="0" xfId="0" applyFont="1" applyAlignment="1">
      <alignment horizontal="right"/>
    </xf>
    <xf numFmtId="7" fontId="3" fillId="0" borderId="0" xfId="1" applyNumberFormat="1" applyFont="1" applyBorder="1" applyAlignment="1">
      <alignment horizontal="center"/>
    </xf>
    <xf numFmtId="0" fontId="3" fillId="0" borderId="0" xfId="0" applyFont="1" applyBorder="1" applyAlignment="1">
      <alignment horizontal="center"/>
    </xf>
    <xf numFmtId="0" fontId="15" fillId="0" borderId="0" xfId="0" applyFont="1" applyAlignment="1">
      <alignment horizontal="center"/>
    </xf>
    <xf numFmtId="0" fontId="8" fillId="0" borderId="0" xfId="0" applyFont="1" applyAlignment="1">
      <alignment horizontal="center" wrapText="1"/>
    </xf>
    <xf numFmtId="0" fontId="8" fillId="0" borderId="0" xfId="0" applyFont="1"/>
    <xf numFmtId="44" fontId="15" fillId="0" borderId="0" xfId="1" applyFont="1"/>
    <xf numFmtId="44" fontId="15" fillId="0" borderId="0" xfId="0" applyNumberFormat="1" applyFont="1"/>
    <xf numFmtId="44" fontId="15" fillId="0" borderId="0" xfId="1" applyFont="1" applyBorder="1"/>
    <xf numFmtId="44" fontId="8" fillId="0" borderId="0" xfId="0" applyNumberFormat="1" applyFont="1"/>
    <xf numFmtId="0" fontId="8" fillId="0" borderId="0" xfId="0" applyFont="1" applyAlignment="1"/>
    <xf numFmtId="44" fontId="15" fillId="0" borderId="0" xfId="1" applyFont="1" applyAlignment="1"/>
    <xf numFmtId="44" fontId="15" fillId="0" borderId="0" xfId="0" applyNumberFormat="1" applyFont="1" applyAlignment="1"/>
    <xf numFmtId="0" fontId="15" fillId="0" borderId="0" xfId="0" applyFont="1" applyAlignment="1">
      <alignment horizontal="right"/>
    </xf>
    <xf numFmtId="2" fontId="10" fillId="2" borderId="0" xfId="0" applyNumberFormat="1" applyFont="1" applyFill="1" applyBorder="1" applyAlignment="1" applyProtection="1">
      <protection locked="0"/>
    </xf>
    <xf numFmtId="1" fontId="15" fillId="7" borderId="11" xfId="0" applyNumberFormat="1" applyFont="1" applyFill="1" applyBorder="1" applyAlignment="1">
      <alignment horizontal="center"/>
    </xf>
    <xf numFmtId="1" fontId="15" fillId="7" borderId="12" xfId="0" applyNumberFormat="1" applyFont="1" applyFill="1" applyBorder="1" applyAlignment="1">
      <alignment horizontal="center"/>
    </xf>
    <xf numFmtId="0" fontId="15" fillId="0" borderId="0" xfId="0" applyFont="1" applyProtection="1">
      <protection locked="0"/>
    </xf>
    <xf numFmtId="0" fontId="15" fillId="0" borderId="0" xfId="0" applyFont="1" applyAlignment="1" applyProtection="1">
      <alignment horizontal="right"/>
      <protection locked="0"/>
    </xf>
    <xf numFmtId="0" fontId="8" fillId="0" borderId="0" xfId="0" applyFont="1" applyAlignment="1" applyProtection="1">
      <alignment horizontal="center"/>
      <protection locked="0"/>
    </xf>
    <xf numFmtId="8" fontId="15" fillId="0" borderId="0" xfId="0" quotePrefix="1" applyNumberFormat="1" applyFont="1" applyAlignment="1" applyProtection="1">
      <alignment horizontal="center"/>
      <protection locked="0"/>
    </xf>
    <xf numFmtId="3" fontId="15" fillId="2" borderId="0" xfId="0" applyNumberFormat="1" applyFont="1" applyFill="1" applyAlignment="1" applyProtection="1">
      <alignment horizontal="center" vertical="center"/>
      <protection locked="0"/>
    </xf>
    <xf numFmtId="8" fontId="15" fillId="7" borderId="0" xfId="0" applyNumberFormat="1" applyFont="1" applyFill="1" applyAlignment="1" applyProtection="1">
      <alignment horizontal="center"/>
      <protection locked="0"/>
    </xf>
    <xf numFmtId="8" fontId="8" fillId="8" borderId="2" xfId="0" applyNumberFormat="1" applyFont="1" applyFill="1" applyBorder="1" applyAlignment="1" applyProtection="1">
      <alignment horizontal="center"/>
      <protection locked="0"/>
    </xf>
    <xf numFmtId="0" fontId="8" fillId="3" borderId="0" xfId="0" applyFont="1" applyFill="1" applyProtection="1">
      <protection locked="0"/>
    </xf>
    <xf numFmtId="164" fontId="8" fillId="3" borderId="0" xfId="0" applyNumberFormat="1" applyFont="1" applyFill="1" applyAlignment="1" applyProtection="1">
      <alignment horizontal="center"/>
      <protection locked="0"/>
    </xf>
    <xf numFmtId="0" fontId="15" fillId="0" borderId="0" xfId="0" quotePrefix="1" applyFont="1" applyAlignment="1" applyProtection="1">
      <alignment horizontal="center"/>
      <protection locked="0"/>
    </xf>
    <xf numFmtId="0" fontId="19" fillId="0" borderId="0" xfId="0" applyFont="1" applyProtection="1">
      <protection locked="0"/>
    </xf>
    <xf numFmtId="0" fontId="23" fillId="9" borderId="0" xfId="0" applyFont="1" applyFill="1" applyAlignment="1">
      <alignment horizontal="center"/>
    </xf>
    <xf numFmtId="0" fontId="21" fillId="9" borderId="0" xfId="0" applyFont="1" applyFill="1"/>
    <xf numFmtId="0" fontId="0" fillId="9" borderId="0" xfId="0" applyFill="1"/>
    <xf numFmtId="0" fontId="0" fillId="9" borderId="0" xfId="0" applyFill="1" applyAlignment="1">
      <alignment horizontal="left"/>
    </xf>
    <xf numFmtId="1" fontId="0" fillId="9" borderId="0" xfId="0" applyNumberFormat="1" applyFill="1"/>
    <xf numFmtId="1" fontId="21" fillId="9" borderId="0" xfId="0" applyNumberFormat="1" applyFont="1" applyFill="1"/>
    <xf numFmtId="0" fontId="23" fillId="3" borderId="0" xfId="0" applyFont="1" applyFill="1" applyAlignment="1">
      <alignment horizontal="center"/>
    </xf>
    <xf numFmtId="1" fontId="21" fillId="3" borderId="0" xfId="0" applyNumberFormat="1" applyFont="1" applyFill="1"/>
    <xf numFmtId="0" fontId="0" fillId="3" borderId="0" xfId="0" applyFill="1"/>
    <xf numFmtId="0" fontId="0" fillId="3" borderId="0" xfId="0" applyFill="1" applyAlignment="1">
      <alignment horizontal="left"/>
    </xf>
    <xf numFmtId="1" fontId="0" fillId="3" borderId="0" xfId="0" applyNumberFormat="1" applyFill="1"/>
    <xf numFmtId="0" fontId="21" fillId="3" borderId="0" xfId="0" applyFont="1" applyFill="1"/>
    <xf numFmtId="0" fontId="0" fillId="10" borderId="0" xfId="0" applyFill="1"/>
    <xf numFmtId="0" fontId="0" fillId="10" borderId="0" xfId="0" applyFill="1" applyAlignment="1">
      <alignment horizontal="left"/>
    </xf>
    <xf numFmtId="1" fontId="0" fillId="10" borderId="0" xfId="0" applyNumberFormat="1" applyFill="1"/>
    <xf numFmtId="0" fontId="21" fillId="10" borderId="0" xfId="0" applyFont="1" applyFill="1"/>
    <xf numFmtId="0" fontId="23" fillId="11" borderId="0" xfId="0" applyFont="1" applyFill="1" applyAlignment="1">
      <alignment horizontal="center"/>
    </xf>
    <xf numFmtId="0" fontId="0" fillId="11" borderId="0" xfId="0" applyFill="1"/>
    <xf numFmtId="0" fontId="0" fillId="11" borderId="0" xfId="0" applyFill="1" applyAlignment="1">
      <alignment horizontal="left"/>
    </xf>
    <xf numFmtId="1" fontId="0" fillId="11" borderId="0" xfId="0" applyNumberFormat="1" applyFill="1"/>
    <xf numFmtId="0" fontId="21" fillId="11" borderId="0" xfId="0" applyFont="1" applyFill="1"/>
    <xf numFmtId="1" fontId="21" fillId="11" borderId="0" xfId="0" applyNumberFormat="1" applyFont="1" applyFill="1"/>
    <xf numFmtId="0" fontId="23" fillId="12" borderId="0" xfId="0" applyFont="1" applyFill="1" applyAlignment="1">
      <alignment horizontal="center"/>
    </xf>
    <xf numFmtId="1" fontId="21" fillId="12" borderId="0" xfId="0" applyNumberFormat="1" applyFont="1" applyFill="1"/>
    <xf numFmtId="0" fontId="0" fillId="12" borderId="0" xfId="0" applyFill="1"/>
    <xf numFmtId="0" fontId="0" fillId="12" borderId="0" xfId="0" applyFill="1" applyAlignment="1">
      <alignment horizontal="left"/>
    </xf>
    <xf numFmtId="1" fontId="0" fillId="12" borderId="0" xfId="0" applyNumberFormat="1" applyFill="1"/>
    <xf numFmtId="0" fontId="21" fillId="12" borderId="0" xfId="0" applyFont="1" applyFill="1"/>
    <xf numFmtId="0" fontId="23" fillId="13" borderId="0" xfId="0" applyFont="1" applyFill="1" applyAlignment="1">
      <alignment horizontal="center"/>
    </xf>
    <xf numFmtId="1" fontId="21" fillId="13" borderId="0" xfId="0" applyNumberFormat="1" applyFont="1" applyFill="1"/>
    <xf numFmtId="0" fontId="0" fillId="14" borderId="0" xfId="0" applyFill="1"/>
    <xf numFmtId="0" fontId="0" fillId="14" borderId="0" xfId="0" applyFill="1" applyAlignment="1">
      <alignment horizontal="left"/>
    </xf>
    <xf numFmtId="1" fontId="0" fillId="14" borderId="0" xfId="0" applyNumberFormat="1" applyFill="1"/>
    <xf numFmtId="0" fontId="21" fillId="14" borderId="0" xfId="0" applyFont="1" applyFill="1"/>
    <xf numFmtId="1" fontId="21" fillId="14" borderId="0" xfId="0" applyNumberFormat="1" applyFont="1" applyFill="1"/>
    <xf numFmtId="0" fontId="0" fillId="2" borderId="0" xfId="0" applyFill="1"/>
    <xf numFmtId="0" fontId="0" fillId="2" borderId="0" xfId="0" applyFill="1" applyAlignment="1">
      <alignment horizontal="left"/>
    </xf>
    <xf numFmtId="1" fontId="0" fillId="2" borderId="0" xfId="0" applyNumberFormat="1" applyFill="1"/>
    <xf numFmtId="0" fontId="21" fillId="2" borderId="0" xfId="0" applyFont="1" applyFill="1"/>
    <xf numFmtId="1" fontId="0" fillId="13" borderId="0" xfId="0" applyNumberFormat="1" applyFill="1"/>
    <xf numFmtId="1" fontId="5" fillId="5" borderId="10" xfId="0" applyNumberFormat="1" applyFont="1" applyFill="1" applyBorder="1"/>
    <xf numFmtId="0" fontId="8" fillId="0" borderId="0" xfId="0" applyFont="1" applyAlignment="1" applyProtection="1">
      <alignment wrapText="1"/>
      <protection locked="0"/>
    </xf>
    <xf numFmtId="1" fontId="15" fillId="7" borderId="15" xfId="0" applyNumberFormat="1" applyFont="1" applyFill="1" applyBorder="1" applyAlignment="1">
      <alignment horizontal="center"/>
    </xf>
    <xf numFmtId="165" fontId="2" fillId="0" borderId="1" xfId="0" quotePrefix="1" applyNumberFormat="1" applyFont="1" applyBorder="1" applyAlignment="1" applyProtection="1">
      <alignment horizontal="center"/>
      <protection locked="0"/>
    </xf>
    <xf numFmtId="44" fontId="8" fillId="0" borderId="0" xfId="1" applyFont="1"/>
    <xf numFmtId="44" fontId="3" fillId="0" borderId="0" xfId="0" applyNumberFormat="1" applyFont="1"/>
    <xf numFmtId="0" fontId="15" fillId="7" borderId="16" xfId="0" applyFont="1" applyFill="1" applyBorder="1" applyProtection="1">
      <protection locked="0"/>
    </xf>
    <xf numFmtId="0" fontId="19" fillId="0" borderId="0" xfId="0" applyFont="1" applyAlignment="1" applyProtection="1">
      <alignment horizontal="left" wrapText="1"/>
      <protection locked="0"/>
    </xf>
    <xf numFmtId="44" fontId="8" fillId="0" borderId="17" xfId="0" applyNumberFormat="1" applyFont="1" applyBorder="1"/>
    <xf numFmtId="1" fontId="15" fillId="7" borderId="19" xfId="0" applyNumberFormat="1" applyFont="1" applyFill="1" applyBorder="1" applyAlignment="1">
      <alignment horizontal="center"/>
    </xf>
    <xf numFmtId="44" fontId="15" fillId="0" borderId="18" xfId="0" applyNumberFormat="1" applyFont="1" applyBorder="1"/>
    <xf numFmtId="44" fontId="15" fillId="0" borderId="17" xfId="0" applyNumberFormat="1" applyFont="1" applyBorder="1"/>
    <xf numFmtId="44" fontId="8" fillId="2" borderId="0" xfId="0" quotePrefix="1" applyNumberFormat="1" applyFont="1" applyFill="1" applyAlignment="1">
      <alignment horizontal="center"/>
    </xf>
    <xf numFmtId="44" fontId="8" fillId="2" borderId="17" xfId="0" quotePrefix="1" applyNumberFormat="1" applyFont="1" applyFill="1" applyBorder="1" applyAlignment="1">
      <alignment horizontal="center"/>
    </xf>
    <xf numFmtId="1" fontId="8" fillId="2" borderId="0" xfId="0" applyNumberFormat="1" applyFont="1" applyFill="1"/>
    <xf numFmtId="9" fontId="15" fillId="0" borderId="0" xfId="2" applyFont="1" applyFill="1" applyBorder="1" applyProtection="1">
      <protection locked="0"/>
    </xf>
    <xf numFmtId="44" fontId="3" fillId="0" borderId="0" xfId="1" applyFont="1"/>
    <xf numFmtId="44" fontId="3" fillId="0" borderId="17" xfId="1" applyFont="1" applyBorder="1"/>
    <xf numFmtId="0" fontId="3" fillId="2" borderId="0" xfId="0" applyFont="1" applyFill="1"/>
    <xf numFmtId="44" fontId="3" fillId="0" borderId="17" xfId="0" applyNumberFormat="1" applyFont="1" applyBorder="1"/>
    <xf numFmtId="44" fontId="2" fillId="0" borderId="0" xfId="0" applyNumberFormat="1" applyFont="1"/>
    <xf numFmtId="10" fontId="30" fillId="7" borderId="0" xfId="2" applyNumberFormat="1" applyFont="1" applyFill="1" applyBorder="1" applyAlignment="1" applyProtection="1">
      <alignment horizontal="center"/>
      <protection locked="0"/>
    </xf>
    <xf numFmtId="44" fontId="3" fillId="7" borderId="11" xfId="1" applyFont="1" applyFill="1" applyBorder="1"/>
    <xf numFmtId="44" fontId="3" fillId="7" borderId="12" xfId="1" applyFont="1" applyFill="1" applyBorder="1"/>
    <xf numFmtId="44" fontId="3" fillId="7" borderId="13" xfId="1" applyFont="1" applyFill="1" applyBorder="1"/>
    <xf numFmtId="164" fontId="3" fillId="7" borderId="16" xfId="0" applyNumberFormat="1" applyFont="1" applyFill="1" applyBorder="1" applyProtection="1">
      <protection locked="0"/>
    </xf>
    <xf numFmtId="0" fontId="15" fillId="7" borderId="0" xfId="0" applyFont="1" applyFill="1" applyProtection="1">
      <protection locked="0"/>
    </xf>
    <xf numFmtId="0" fontId="15" fillId="7" borderId="0" xfId="0" applyFont="1" applyFill="1" applyAlignment="1" applyProtection="1">
      <alignment horizontal="center"/>
      <protection locked="0"/>
    </xf>
    <xf numFmtId="1" fontId="15" fillId="7" borderId="0" xfId="0" applyNumberFormat="1" applyFont="1" applyFill="1" applyAlignment="1" applyProtection="1">
      <alignment horizontal="center"/>
      <protection locked="0"/>
    </xf>
    <xf numFmtId="3" fontId="15" fillId="7" borderId="0" xfId="0" applyNumberFormat="1" applyFont="1" applyFill="1" applyAlignment="1" applyProtection="1">
      <alignment horizontal="center"/>
      <protection locked="0"/>
    </xf>
    <xf numFmtId="38" fontId="15" fillId="7" borderId="0" xfId="0" quotePrefix="1" applyNumberFormat="1" applyFont="1" applyFill="1" applyAlignment="1" applyProtection="1">
      <alignment horizontal="center"/>
      <protection locked="0"/>
    </xf>
    <xf numFmtId="8" fontId="15" fillId="7" borderId="0" xfId="0" quotePrefix="1" applyNumberFormat="1" applyFont="1" applyFill="1" applyAlignment="1" applyProtection="1">
      <alignment horizontal="center"/>
      <protection locked="0"/>
    </xf>
    <xf numFmtId="0" fontId="19" fillId="0" borderId="0" xfId="0" applyFont="1" applyAlignment="1" applyProtection="1">
      <alignment horizontal="left"/>
      <protection locked="0"/>
    </xf>
    <xf numFmtId="164" fontId="15" fillId="0" borderId="0" xfId="0" quotePrefix="1" applyNumberFormat="1" applyFont="1" applyAlignment="1" applyProtection="1">
      <alignment horizontal="center"/>
      <protection locked="0"/>
    </xf>
    <xf numFmtId="0" fontId="31" fillId="0" borderId="0" xfId="3"/>
    <xf numFmtId="0" fontId="32" fillId="15" borderId="0" xfId="0" applyFont="1" applyFill="1"/>
    <xf numFmtId="2" fontId="9" fillId="15" borderId="0" xfId="0" applyNumberFormat="1" applyFont="1" applyFill="1" applyBorder="1" applyAlignment="1" applyProtection="1">
      <protection locked="0"/>
    </xf>
    <xf numFmtId="2" fontId="10" fillId="15" borderId="0" xfId="0" applyNumberFormat="1" applyFont="1" applyFill="1" applyBorder="1" applyAlignment="1" applyProtection="1">
      <protection locked="0"/>
    </xf>
    <xf numFmtId="2" fontId="29" fillId="15" borderId="0" xfId="0" applyNumberFormat="1" applyFont="1" applyFill="1" applyBorder="1" applyAlignment="1" applyProtection="1">
      <alignment horizontal="right"/>
      <protection locked="0"/>
    </xf>
    <xf numFmtId="2" fontId="17" fillId="15" borderId="0" xfId="0" applyNumberFormat="1" applyFont="1" applyFill="1" applyBorder="1" applyAlignment="1" applyProtection="1">
      <protection locked="0"/>
    </xf>
    <xf numFmtId="2" fontId="16" fillId="15" borderId="0" xfId="0" applyNumberFormat="1" applyFont="1" applyFill="1" applyBorder="1" applyAlignment="1" applyProtection="1">
      <protection locked="0"/>
    </xf>
    <xf numFmtId="44" fontId="15" fillId="0" borderId="0" xfId="1" applyFont="1" applyFill="1"/>
    <xf numFmtId="44" fontId="15" fillId="0" borderId="0" xfId="1" applyFont="1" applyBorder="1" applyAlignment="1"/>
    <xf numFmtId="44" fontId="8" fillId="0" borderId="0" xfId="1" applyFont="1" applyAlignment="1"/>
    <xf numFmtId="44" fontId="15" fillId="0" borderId="0" xfId="1" applyFont="1" applyProtection="1">
      <protection locked="0"/>
    </xf>
    <xf numFmtId="44" fontId="15" fillId="0" borderId="0" xfId="1" applyFont="1" applyBorder="1" applyProtection="1">
      <protection locked="0"/>
    </xf>
    <xf numFmtId="44" fontId="15" fillId="0" borderId="0" xfId="1" applyFont="1" applyFill="1" applyProtection="1">
      <protection locked="0"/>
    </xf>
    <xf numFmtId="44" fontId="15" fillId="2" borderId="0" xfId="1" applyFont="1" applyFill="1" applyProtection="1">
      <protection locked="0"/>
    </xf>
    <xf numFmtId="44" fontId="8" fillId="0" borderId="0" xfId="1" applyFont="1" applyProtection="1">
      <protection locked="0"/>
    </xf>
    <xf numFmtId="44" fontId="8" fillId="0" borderId="0" xfId="1" applyFont="1" applyBorder="1" applyProtection="1">
      <protection locked="0"/>
    </xf>
    <xf numFmtId="44" fontId="3" fillId="0" borderId="0" xfId="1" applyFont="1" applyProtection="1">
      <protection locked="0"/>
    </xf>
    <xf numFmtId="8" fontId="15" fillId="0" borderId="0" xfId="1" applyNumberFormat="1" applyFont="1" applyAlignment="1"/>
    <xf numFmtId="0" fontId="8" fillId="0" borderId="0" xfId="0" applyFont="1" applyAlignment="1" applyProtection="1">
      <alignment horizontal="center" wrapText="1"/>
      <protection locked="0"/>
    </xf>
    <xf numFmtId="40" fontId="33" fillId="7" borderId="0" xfId="0" quotePrefix="1" applyNumberFormat="1" applyFont="1" applyFill="1" applyAlignment="1" applyProtection="1">
      <alignment horizontal="center"/>
      <protection locked="0"/>
    </xf>
    <xf numFmtId="0" fontId="6" fillId="0" borderId="0" xfId="0" applyFont="1" applyBorder="1" applyAlignment="1">
      <alignment horizontal="center" wrapText="1"/>
    </xf>
    <xf numFmtId="2" fontId="6" fillId="0" borderId="0" xfId="0" applyNumberFormat="1" applyFont="1" applyBorder="1" applyAlignment="1">
      <alignment horizontal="right"/>
    </xf>
    <xf numFmtId="2" fontId="0" fillId="0" borderId="0" xfId="0" applyNumberFormat="1" applyBorder="1"/>
    <xf numFmtId="2" fontId="6" fillId="0" borderId="0" xfId="0" applyNumberFormat="1" applyFont="1" applyFill="1" applyBorder="1" applyAlignment="1">
      <alignment horizontal="right"/>
    </xf>
    <xf numFmtId="0" fontId="0" fillId="0" borderId="0" xfId="0" applyAlignment="1">
      <alignment horizontal="right"/>
    </xf>
    <xf numFmtId="0" fontId="0" fillId="0" borderId="20" xfId="0" applyBorder="1"/>
    <xf numFmtId="0" fontId="6" fillId="0" borderId="0" xfId="0" applyFont="1" applyBorder="1"/>
    <xf numFmtId="8" fontId="15" fillId="0" borderId="0" xfId="1" applyNumberFormat="1" applyFont="1"/>
    <xf numFmtId="8" fontId="15" fillId="0" borderId="0" xfId="1" applyNumberFormat="1" applyFont="1" applyBorder="1"/>
    <xf numFmtId="0" fontId="5" fillId="8" borderId="2" xfId="0" applyFont="1" applyFill="1" applyBorder="1" applyAlignment="1" applyProtection="1">
      <alignment horizontal="left"/>
      <protection locked="0"/>
    </xf>
    <xf numFmtId="0" fontId="5" fillId="8" borderId="2" xfId="0" applyFont="1" applyFill="1" applyBorder="1" applyProtection="1">
      <protection locked="0"/>
    </xf>
    <xf numFmtId="3" fontId="0" fillId="0" borderId="0" xfId="0" applyNumberFormat="1"/>
    <xf numFmtId="1" fontId="6" fillId="0" borderId="0" xfId="0" applyNumberFormat="1" applyFont="1" applyBorder="1" applyAlignment="1">
      <alignment horizontal="right"/>
    </xf>
    <xf numFmtId="1" fontId="0" fillId="0" borderId="0" xfId="0" applyNumberFormat="1" applyBorder="1"/>
    <xf numFmtId="1" fontId="0" fillId="0" borderId="0" xfId="0" applyNumberFormat="1"/>
    <xf numFmtId="1" fontId="0" fillId="0" borderId="0" xfId="0" applyNumberFormat="1" applyFill="1" applyBorder="1"/>
    <xf numFmtId="0" fontId="8" fillId="16" borderId="0" xfId="0" applyFont="1" applyFill="1" applyProtection="1">
      <protection locked="0"/>
    </xf>
    <xf numFmtId="9" fontId="8" fillId="16" borderId="0" xfId="0" applyNumberFormat="1" applyFont="1" applyFill="1" applyAlignment="1" applyProtection="1">
      <alignment horizontal="center"/>
      <protection locked="0"/>
    </xf>
    <xf numFmtId="165" fontId="15" fillId="7" borderId="0" xfId="0" applyNumberFormat="1" applyFont="1" applyFill="1"/>
    <xf numFmtId="0" fontId="15" fillId="0" borderId="0" xfId="0" applyFont="1" applyFill="1"/>
    <xf numFmtId="2" fontId="15" fillId="0" borderId="0" xfId="0" applyNumberFormat="1" applyFont="1" applyFill="1"/>
    <xf numFmtId="164" fontId="15" fillId="0" borderId="0" xfId="0" applyNumberFormat="1" applyFont="1" applyFill="1" applyAlignment="1">
      <alignment horizontal="right"/>
    </xf>
    <xf numFmtId="164" fontId="15" fillId="0" borderId="0" xfId="0" applyNumberFormat="1" applyFont="1" applyFill="1"/>
    <xf numFmtId="165" fontId="15" fillId="0" borderId="0" xfId="0" applyNumberFormat="1" applyFont="1" applyFill="1"/>
    <xf numFmtId="0" fontId="35" fillId="0" borderId="0" xfId="0" applyFont="1" applyFill="1"/>
    <xf numFmtId="0" fontId="15" fillId="7" borderId="0" xfId="0" applyFont="1" applyFill="1"/>
    <xf numFmtId="0" fontId="8" fillId="7" borderId="0" xfId="0" applyFont="1" applyFill="1"/>
    <xf numFmtId="164" fontId="36" fillId="0" borderId="0" xfId="0" applyNumberFormat="1" applyFont="1"/>
    <xf numFmtId="0" fontId="15" fillId="2" borderId="0" xfId="0" applyFont="1" applyFill="1"/>
    <xf numFmtId="0" fontId="8" fillId="2" borderId="0" xfId="0" applyFont="1" applyFill="1"/>
    <xf numFmtId="164" fontId="15" fillId="2" borderId="0" xfId="0" applyNumberFormat="1" applyFont="1" applyFill="1" applyAlignment="1">
      <alignment horizontal="right"/>
    </xf>
    <xf numFmtId="0" fontId="15" fillId="2" borderId="0" xfId="0" applyFont="1" applyFill="1" applyAlignment="1">
      <alignment horizontal="right"/>
    </xf>
    <xf numFmtId="0" fontId="35" fillId="2" borderId="0" xfId="0" applyFont="1" applyFill="1"/>
    <xf numFmtId="164" fontId="35" fillId="2" borderId="0" xfId="0" applyNumberFormat="1" applyFont="1" applyFill="1" applyAlignment="1">
      <alignment horizontal="right"/>
    </xf>
    <xf numFmtId="2" fontId="15" fillId="2" borderId="0" xfId="0" applyNumberFormat="1" applyFont="1" applyFill="1"/>
    <xf numFmtId="164" fontId="8" fillId="2" borderId="0" xfId="0" applyNumberFormat="1" applyFont="1" applyFill="1" applyAlignment="1">
      <alignment horizontal="right"/>
    </xf>
    <xf numFmtId="165" fontId="8" fillId="2" borderId="0" xfId="0" applyNumberFormat="1" applyFont="1" applyFill="1" applyAlignment="1">
      <alignment horizontal="right"/>
    </xf>
    <xf numFmtId="0" fontId="35" fillId="12" borderId="0" xfId="0" applyFont="1" applyFill="1"/>
    <xf numFmtId="164" fontId="35" fillId="12" borderId="0" xfId="0" applyNumberFormat="1" applyFont="1" applyFill="1"/>
    <xf numFmtId="0" fontId="27" fillId="2" borderId="0" xfId="0" applyFont="1" applyFill="1" applyAlignment="1">
      <alignment horizontal="center"/>
    </xf>
    <xf numFmtId="0" fontId="39" fillId="7" borderId="0" xfId="0" applyFont="1" applyFill="1" applyAlignment="1">
      <alignment horizontal="center"/>
    </xf>
    <xf numFmtId="2" fontId="11" fillId="7" borderId="0" xfId="0" applyNumberFormat="1" applyFont="1" applyFill="1" applyAlignment="1" applyProtection="1">
      <protection locked="0"/>
    </xf>
    <xf numFmtId="2" fontId="11" fillId="2" borderId="0" xfId="0" applyNumberFormat="1" applyFont="1" applyFill="1" applyAlignment="1" applyProtection="1">
      <protection locked="0"/>
    </xf>
    <xf numFmtId="0" fontId="27" fillId="17" borderId="0" xfId="0" applyFont="1" applyFill="1" applyAlignment="1">
      <alignment horizontal="center"/>
    </xf>
    <xf numFmtId="0" fontId="27" fillId="17" borderId="21" xfId="0" applyFont="1" applyFill="1" applyBorder="1" applyAlignment="1">
      <alignment horizontal="center"/>
    </xf>
    <xf numFmtId="0" fontId="8" fillId="17" borderId="21" xfId="0" applyFont="1" applyFill="1" applyBorder="1"/>
    <xf numFmtId="2" fontId="15" fillId="17" borderId="0" xfId="0" applyNumberFormat="1" applyFont="1" applyFill="1"/>
    <xf numFmtId="164" fontId="15" fillId="17" borderId="0" xfId="0" applyNumberFormat="1" applyFont="1" applyFill="1" applyAlignment="1">
      <alignment horizontal="right"/>
    </xf>
    <xf numFmtId="0" fontId="15" fillId="7" borderId="21" xfId="0" applyFont="1" applyFill="1" applyBorder="1"/>
    <xf numFmtId="0" fontId="8" fillId="7" borderId="21" xfId="0" applyFont="1" applyFill="1" applyBorder="1"/>
    <xf numFmtId="0" fontId="15" fillId="2" borderId="21" xfId="0" applyFont="1" applyFill="1" applyBorder="1"/>
    <xf numFmtId="0" fontId="8" fillId="2" borderId="21" xfId="0" applyFont="1" applyFill="1" applyBorder="1"/>
    <xf numFmtId="0" fontId="15" fillId="17" borderId="0" xfId="0" applyFont="1" applyFill="1"/>
    <xf numFmtId="165" fontId="15" fillId="7" borderId="0" xfId="0" applyNumberFormat="1" applyFont="1" applyFill="1" applyBorder="1"/>
    <xf numFmtId="0" fontId="0" fillId="0" borderId="0" xfId="0" applyBorder="1"/>
    <xf numFmtId="0" fontId="15" fillId="0" borderId="0" xfId="0" applyFont="1" applyBorder="1"/>
    <xf numFmtId="165" fontId="15" fillId="7" borderId="22" xfId="0" applyNumberFormat="1" applyFont="1" applyFill="1" applyBorder="1"/>
    <xf numFmtId="0" fontId="0" fillId="0" borderId="22" xfId="0" applyBorder="1"/>
    <xf numFmtId="0" fontId="15" fillId="0" borderId="22" xfId="0" applyFont="1" applyBorder="1"/>
    <xf numFmtId="0" fontId="15" fillId="17" borderId="23" xfId="0" applyFont="1" applyFill="1" applyBorder="1"/>
    <xf numFmtId="0" fontId="15" fillId="17" borderId="23" xfId="0" applyFont="1" applyFill="1" applyBorder="1" applyAlignment="1">
      <alignment horizontal="right"/>
    </xf>
    <xf numFmtId="2" fontId="11" fillId="0" borderId="17" xfId="0" applyNumberFormat="1" applyFont="1" applyFill="1" applyBorder="1" applyAlignment="1" applyProtection="1">
      <protection locked="0"/>
    </xf>
    <xf numFmtId="2" fontId="15" fillId="0" borderId="17" xfId="0" applyNumberFormat="1" applyFont="1" applyFill="1" applyBorder="1"/>
    <xf numFmtId="164" fontId="15" fillId="0" borderId="17" xfId="0" applyNumberFormat="1" applyFont="1" applyFill="1" applyBorder="1" applyAlignment="1">
      <alignment horizontal="right"/>
    </xf>
    <xf numFmtId="2" fontId="11" fillId="2" borderId="0" xfId="0" applyNumberFormat="1" applyFont="1" applyFill="1" applyBorder="1" applyAlignment="1" applyProtection="1">
      <protection locked="0"/>
    </xf>
    <xf numFmtId="2" fontId="15" fillId="2" borderId="0" xfId="0" applyNumberFormat="1" applyFont="1" applyFill="1" applyBorder="1"/>
    <xf numFmtId="164" fontId="15" fillId="2" borderId="0" xfId="0" applyNumberFormat="1" applyFont="1" applyFill="1" applyBorder="1" applyAlignment="1">
      <alignment horizontal="right"/>
    </xf>
    <xf numFmtId="2" fontId="11" fillId="2" borderId="17" xfId="0" applyNumberFormat="1" applyFont="1" applyFill="1" applyBorder="1" applyAlignment="1" applyProtection="1">
      <protection locked="0"/>
    </xf>
    <xf numFmtId="2" fontId="15" fillId="2" borderId="17" xfId="0" applyNumberFormat="1" applyFont="1" applyFill="1" applyBorder="1"/>
    <xf numFmtId="164" fontId="15" fillId="2" borderId="17" xfId="0" applyNumberFormat="1" applyFont="1" applyFill="1" applyBorder="1" applyAlignment="1">
      <alignment horizontal="right"/>
    </xf>
    <xf numFmtId="0" fontId="15" fillId="2" borderId="17" xfId="0" applyFont="1" applyFill="1" applyBorder="1"/>
    <xf numFmtId="164" fontId="15" fillId="0" borderId="0" xfId="0" applyNumberFormat="1" applyFont="1" applyFill="1" applyBorder="1" applyAlignment="1">
      <alignment horizontal="right"/>
    </xf>
    <xf numFmtId="0" fontId="6" fillId="0" borderId="24" xfId="0" applyFont="1" applyBorder="1" applyAlignment="1" applyProtection="1">
      <alignment horizontal="right"/>
      <protection locked="0"/>
    </xf>
    <xf numFmtId="0" fontId="3" fillId="0" borderId="21" xfId="0" applyFont="1" applyBorder="1" applyProtection="1">
      <protection locked="0"/>
    </xf>
    <xf numFmtId="0" fontId="6" fillId="0" borderId="21" xfId="0" applyFont="1" applyBorder="1" applyAlignment="1" applyProtection="1">
      <alignment horizontal="right"/>
      <protection locked="0"/>
    </xf>
    <xf numFmtId="0" fontId="3" fillId="0" borderId="25" xfId="0" applyFont="1" applyBorder="1" applyProtection="1">
      <protection locked="0"/>
    </xf>
    <xf numFmtId="166" fontId="3" fillId="0" borderId="16" xfId="0" applyNumberFormat="1" applyFont="1" applyBorder="1" applyProtection="1">
      <protection locked="0"/>
    </xf>
    <xf numFmtId="2" fontId="11" fillId="7" borderId="0" xfId="0" applyNumberFormat="1" applyFont="1" applyFill="1" applyBorder="1" applyAlignment="1" applyProtection="1">
      <protection locked="0"/>
    </xf>
    <xf numFmtId="2" fontId="11" fillId="7" borderId="22" xfId="0" applyNumberFormat="1" applyFont="1" applyFill="1" applyBorder="1" applyAlignment="1" applyProtection="1">
      <protection locked="0"/>
    </xf>
    <xf numFmtId="0" fontId="19" fillId="0" borderId="0" xfId="0" applyFont="1" applyAlignment="1" applyProtection="1">
      <alignment horizontal="left" wrapText="1"/>
      <protection locked="0"/>
    </xf>
    <xf numFmtId="0" fontId="38" fillId="8" borderId="0" xfId="0" applyFont="1" applyFill="1" applyAlignment="1" applyProtection="1">
      <alignment horizontal="center"/>
      <protection locked="0"/>
    </xf>
    <xf numFmtId="0" fontId="35" fillId="2" borderId="0" xfId="0" applyFont="1" applyFill="1" applyAlignment="1" applyProtection="1">
      <alignment horizontal="center"/>
      <protection locked="0"/>
    </xf>
    <xf numFmtId="0" fontId="35" fillId="2" borderId="3" xfId="0" applyFont="1" applyFill="1" applyBorder="1" applyAlignment="1" applyProtection="1">
      <alignment horizontal="center"/>
      <protection locked="0"/>
    </xf>
    <xf numFmtId="0" fontId="28" fillId="0" borderId="0" xfId="0" quotePrefix="1" applyFont="1" applyBorder="1" applyAlignment="1" applyProtection="1">
      <alignment horizontal="center"/>
      <protection locked="0"/>
    </xf>
    <xf numFmtId="0" fontId="27" fillId="17" borderId="0" xfId="0" applyFont="1" applyFill="1" applyAlignment="1">
      <alignment horizontal="center"/>
    </xf>
    <xf numFmtId="0" fontId="39" fillId="7" borderId="0" xfId="0" applyFont="1" applyFill="1" applyAlignment="1">
      <alignment horizontal="center"/>
    </xf>
    <xf numFmtId="0" fontId="27" fillId="2" borderId="0" xfId="0" applyFont="1" applyFill="1" applyAlignment="1">
      <alignment horizontal="center"/>
    </xf>
    <xf numFmtId="2" fontId="16" fillId="15" borderId="0" xfId="0" applyNumberFormat="1" applyFont="1" applyFill="1" applyBorder="1" applyAlignment="1" applyProtection="1">
      <alignment horizontal="center"/>
      <protection locked="0"/>
    </xf>
    <xf numFmtId="0" fontId="26" fillId="2" borderId="0" xfId="0" applyFont="1" applyFill="1" applyAlignment="1">
      <alignment horizontal="center"/>
    </xf>
    <xf numFmtId="0" fontId="23" fillId="13" borderId="0" xfId="0" applyFont="1" applyFill="1" applyAlignment="1">
      <alignment horizontal="center"/>
    </xf>
    <xf numFmtId="0" fontId="22" fillId="2" borderId="0" xfId="0" applyFont="1" applyFill="1" applyAlignment="1">
      <alignment horizontal="center"/>
    </xf>
    <xf numFmtId="0" fontId="23" fillId="9" borderId="0" xfId="0" applyFont="1" applyFill="1" applyAlignment="1">
      <alignment horizontal="center"/>
    </xf>
    <xf numFmtId="0" fontId="23" fillId="3" borderId="0" xfId="0" applyFont="1" applyFill="1" applyAlignment="1">
      <alignment horizontal="center"/>
    </xf>
    <xf numFmtId="0" fontId="23" fillId="11" borderId="0" xfId="0" applyFont="1" applyFill="1" applyAlignment="1">
      <alignment horizontal="center"/>
    </xf>
    <xf numFmtId="0" fontId="23" fillId="12" borderId="0" xfId="0" applyFont="1" applyFill="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0000FF"/>
      <color rgb="FF0066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dgets\Budgets%202018\Wheat-2018-T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eat-TW"/>
      <sheetName val="Chemicals"/>
      <sheetName val="Machinery"/>
      <sheetName val="Seed"/>
      <sheetName val="Rates"/>
      <sheetName val="Mach Info"/>
    </sheetNames>
    <sheetDataSet>
      <sheetData sheetId="0"/>
      <sheetData sheetId="1"/>
      <sheetData sheetId="2"/>
      <sheetData sheetId="3">
        <row r="7">
          <cell r="A7">
            <v>1</v>
          </cell>
          <cell r="B7" t="str">
            <v>WHEAT</v>
          </cell>
          <cell r="C7" t="str">
            <v>BU.</v>
          </cell>
          <cell r="D7" t="str">
            <v>BU.</v>
          </cell>
          <cell r="E7">
            <v>21</v>
          </cell>
          <cell r="F7">
            <v>24</v>
          </cell>
          <cell r="G7">
            <v>22.5</v>
          </cell>
          <cell r="H7">
            <v>22.5</v>
          </cell>
        </row>
        <row r="8">
          <cell r="A8">
            <v>2</v>
          </cell>
          <cell r="B8" t="str">
            <v>OATS</v>
          </cell>
          <cell r="C8" t="str">
            <v>BU.</v>
          </cell>
          <cell r="D8" t="str">
            <v>BU.</v>
          </cell>
          <cell r="E8">
            <v>14</v>
          </cell>
          <cell r="F8">
            <v>15</v>
          </cell>
          <cell r="G8">
            <v>14.5</v>
          </cell>
          <cell r="H8">
            <v>14.5</v>
          </cell>
        </row>
        <row r="9">
          <cell r="A9">
            <v>3</v>
          </cell>
          <cell r="B9" t="str">
            <v>GRAIN SORGHUM</v>
          </cell>
          <cell r="C9" t="str">
            <v>BU.</v>
          </cell>
          <cell r="D9" t="str">
            <v>BU.</v>
          </cell>
          <cell r="E9">
            <v>15</v>
          </cell>
          <cell r="F9">
            <v>16</v>
          </cell>
          <cell r="G9">
            <v>15.5</v>
          </cell>
          <cell r="H9">
            <v>15.5</v>
          </cell>
        </row>
        <row r="10">
          <cell r="A10">
            <v>4</v>
          </cell>
          <cell r="B10" t="str">
            <v>SOYBEANS</v>
          </cell>
          <cell r="C10" t="str">
            <v>BU.</v>
          </cell>
          <cell r="D10" t="str">
            <v>BU.</v>
          </cell>
          <cell r="E10">
            <v>33</v>
          </cell>
          <cell r="F10">
            <v>30</v>
          </cell>
          <cell r="G10">
            <v>31.5</v>
          </cell>
          <cell r="H10">
            <v>31.5</v>
          </cell>
        </row>
        <row r="11">
          <cell r="A11">
            <v>4.0999999999999996</v>
          </cell>
          <cell r="B11" t="str">
            <v>SOYBEANS-RR (TEC. FEE INCLUDED)</v>
          </cell>
          <cell r="C11" t="str">
            <v>THOU.</v>
          </cell>
          <cell r="D11" t="str">
            <v>THOU.</v>
          </cell>
          <cell r="E11">
            <v>0.41428571428571431</v>
          </cell>
          <cell r="F11">
            <v>0.38571428571428573</v>
          </cell>
          <cell r="G11">
            <v>0.4</v>
          </cell>
          <cell r="H11">
            <v>0.4</v>
          </cell>
        </row>
        <row r="12">
          <cell r="A12">
            <v>5</v>
          </cell>
          <cell r="B12" t="str">
            <v>TOBACCO</v>
          </cell>
          <cell r="C12" t="str">
            <v>THOU.</v>
          </cell>
          <cell r="D12" t="str">
            <v>THOU.</v>
          </cell>
          <cell r="E12">
            <v>40</v>
          </cell>
          <cell r="F12">
            <v>40</v>
          </cell>
          <cell r="G12">
            <v>40</v>
          </cell>
          <cell r="H12">
            <v>40</v>
          </cell>
        </row>
        <row r="13">
          <cell r="A13">
            <v>6</v>
          </cell>
          <cell r="B13" t="str">
            <v>CORN</v>
          </cell>
          <cell r="C13" t="str">
            <v>THOU.</v>
          </cell>
          <cell r="D13" t="str">
            <v>THOU.</v>
          </cell>
          <cell r="E13">
            <v>2.2000000000000002</v>
          </cell>
          <cell r="F13">
            <v>2</v>
          </cell>
          <cell r="G13">
            <v>2.1</v>
          </cell>
          <cell r="H13">
            <v>2.1</v>
          </cell>
        </row>
        <row r="14">
          <cell r="A14">
            <v>6.1</v>
          </cell>
          <cell r="B14" t="str">
            <v>CORN-RR (TEC. FEE INCLUDED)</v>
          </cell>
          <cell r="C14" t="str">
            <v>THOU.</v>
          </cell>
          <cell r="D14" t="str">
            <v>THOU.</v>
          </cell>
          <cell r="E14">
            <v>3</v>
          </cell>
          <cell r="F14">
            <v>2.3125</v>
          </cell>
          <cell r="G14">
            <v>2.65625</v>
          </cell>
          <cell r="H14">
            <v>2.6560000000000001</v>
          </cell>
        </row>
        <row r="15">
          <cell r="A15">
            <v>7</v>
          </cell>
          <cell r="B15" t="str">
            <v>COTTON</v>
          </cell>
          <cell r="C15" t="str">
            <v>THOU.</v>
          </cell>
          <cell r="D15" t="str">
            <v>THOU.</v>
          </cell>
          <cell r="E15">
            <v>2</v>
          </cell>
          <cell r="F15">
            <v>2.2222222222222223</v>
          </cell>
          <cell r="G15">
            <v>2.1111111111111112</v>
          </cell>
          <cell r="H15">
            <v>2.11</v>
          </cell>
        </row>
        <row r="16">
          <cell r="A16">
            <v>7.1</v>
          </cell>
          <cell r="B16" t="str">
            <v>COTTON-RR</v>
          </cell>
          <cell r="C16" t="str">
            <v>LBS</v>
          </cell>
          <cell r="D16" t="str">
            <v>LBS</v>
          </cell>
          <cell r="E16">
            <v>9.7100000000000009</v>
          </cell>
          <cell r="F16">
            <v>9.7100000000000009</v>
          </cell>
          <cell r="G16">
            <v>9.7100000000000009</v>
          </cell>
          <cell r="H16">
            <v>9.7100000000000009</v>
          </cell>
        </row>
        <row r="17">
          <cell r="A17">
            <v>7.2</v>
          </cell>
          <cell r="B17" t="str">
            <v>COTTON-BT</v>
          </cell>
          <cell r="C17" t="str">
            <v>LBS</v>
          </cell>
          <cell r="D17" t="str">
            <v>LBS</v>
          </cell>
          <cell r="E17">
            <v>7.95</v>
          </cell>
          <cell r="F17">
            <v>7.89</v>
          </cell>
          <cell r="G17">
            <v>7.92</v>
          </cell>
          <cell r="H17">
            <v>7.92</v>
          </cell>
        </row>
        <row r="18">
          <cell r="A18">
            <v>7.3</v>
          </cell>
          <cell r="B18" t="str">
            <v>COTTON-B2RF OR WRF</v>
          </cell>
          <cell r="C18" t="str">
            <v>LBS</v>
          </cell>
          <cell r="D18" t="str">
            <v>LBS</v>
          </cell>
          <cell r="E18">
            <v>11</v>
          </cell>
          <cell r="F18">
            <v>12</v>
          </cell>
          <cell r="G18">
            <v>11.5</v>
          </cell>
          <cell r="H18">
            <v>11.5</v>
          </cell>
        </row>
        <row r="19">
          <cell r="A19">
            <v>8</v>
          </cell>
          <cell r="B19" t="str">
            <v>PEANUTS</v>
          </cell>
          <cell r="C19" t="str">
            <v>LBS</v>
          </cell>
          <cell r="D19" t="str">
            <v>LBS</v>
          </cell>
          <cell r="E19">
            <v>0.85</v>
          </cell>
          <cell r="F19">
            <v>0.85</v>
          </cell>
          <cell r="G19">
            <v>0.85</v>
          </cell>
          <cell r="H19">
            <v>0.85</v>
          </cell>
        </row>
        <row r="20">
          <cell r="A20">
            <v>9</v>
          </cell>
          <cell r="B20" t="str">
            <v>PEANUTS RUNNER</v>
          </cell>
          <cell r="C20" t="str">
            <v>LBS</v>
          </cell>
          <cell r="D20" t="str">
            <v>LBS</v>
          </cell>
          <cell r="E20">
            <v>0.8</v>
          </cell>
          <cell r="F20">
            <v>0.8</v>
          </cell>
          <cell r="G20">
            <v>0.8</v>
          </cell>
          <cell r="H20">
            <v>0.8</v>
          </cell>
        </row>
        <row r="22">
          <cell r="A22" t="str">
            <v>VEGETABLE &amp; FRUIT SEED</v>
          </cell>
        </row>
        <row r="23">
          <cell r="A23">
            <v>10</v>
          </cell>
          <cell r="B23" t="str">
            <v>PEACH</v>
          </cell>
          <cell r="C23" t="str">
            <v>EACH</v>
          </cell>
          <cell r="D23" t="str">
            <v>EACH</v>
          </cell>
          <cell r="E23">
            <v>0</v>
          </cell>
          <cell r="F23">
            <v>0</v>
          </cell>
          <cell r="G23">
            <v>0</v>
          </cell>
          <cell r="H23">
            <v>0</v>
          </cell>
        </row>
        <row r="24">
          <cell r="A24">
            <v>11</v>
          </cell>
          <cell r="B24" t="str">
            <v>BELL PEPPERS</v>
          </cell>
          <cell r="C24" t="str">
            <v>EACH</v>
          </cell>
          <cell r="D24" t="str">
            <v>EACH</v>
          </cell>
          <cell r="E24">
            <v>0.12</v>
          </cell>
          <cell r="F24">
            <v>0</v>
          </cell>
          <cell r="G24">
            <v>0.12</v>
          </cell>
          <cell r="H24">
            <v>0.12</v>
          </cell>
        </row>
        <row r="25">
          <cell r="A25">
            <v>12</v>
          </cell>
          <cell r="B25" t="str">
            <v>BROCCOLI</v>
          </cell>
          <cell r="C25" t="str">
            <v>THOU.</v>
          </cell>
          <cell r="D25" t="str">
            <v>THOU.</v>
          </cell>
          <cell r="E25">
            <v>35</v>
          </cell>
          <cell r="F25">
            <v>0</v>
          </cell>
          <cell r="G25">
            <v>35</v>
          </cell>
          <cell r="H25">
            <v>35</v>
          </cell>
        </row>
        <row r="26">
          <cell r="A26">
            <v>13</v>
          </cell>
          <cell r="B26" t="str">
            <v>CABBAGE - FALL</v>
          </cell>
          <cell r="C26" t="str">
            <v>THOU.</v>
          </cell>
          <cell r="D26" t="str">
            <v>THOU.</v>
          </cell>
          <cell r="E26">
            <v>45</v>
          </cell>
          <cell r="F26">
            <v>0</v>
          </cell>
          <cell r="G26">
            <v>45</v>
          </cell>
          <cell r="H26">
            <v>45</v>
          </cell>
        </row>
        <row r="27">
          <cell r="A27">
            <v>14</v>
          </cell>
          <cell r="B27" t="str">
            <v>CABBAGE - SPRING</v>
          </cell>
          <cell r="C27" t="str">
            <v>THOU.</v>
          </cell>
          <cell r="D27" t="str">
            <v>THOU.</v>
          </cell>
          <cell r="E27">
            <v>45</v>
          </cell>
          <cell r="F27">
            <v>0</v>
          </cell>
          <cell r="G27">
            <v>45</v>
          </cell>
          <cell r="H27">
            <v>45</v>
          </cell>
        </row>
        <row r="28">
          <cell r="A28">
            <v>15</v>
          </cell>
          <cell r="B28" t="str">
            <v>COLLARDS</v>
          </cell>
          <cell r="C28" t="str">
            <v>THOU.</v>
          </cell>
          <cell r="D28" t="str">
            <v>THOU.</v>
          </cell>
          <cell r="E28">
            <v>20</v>
          </cell>
          <cell r="F28">
            <v>0</v>
          </cell>
          <cell r="G28">
            <v>20</v>
          </cell>
          <cell r="H28">
            <v>20</v>
          </cell>
        </row>
        <row r="29">
          <cell r="A29">
            <v>16</v>
          </cell>
          <cell r="B29" t="str">
            <v>SWEET CORN - local</v>
          </cell>
          <cell r="C29" t="str">
            <v>LBS</v>
          </cell>
          <cell r="D29" t="str">
            <v>LBS</v>
          </cell>
          <cell r="E29">
            <v>10.59</v>
          </cell>
          <cell r="F29">
            <v>10.99</v>
          </cell>
          <cell r="G29">
            <v>10.79</v>
          </cell>
          <cell r="H29">
            <v>10.79</v>
          </cell>
        </row>
        <row r="30">
          <cell r="A30">
            <v>16</v>
          </cell>
          <cell r="B30" t="str">
            <v xml:space="preserve">SWEET CORN - Fresh </v>
          </cell>
          <cell r="C30" t="str">
            <v>LBS</v>
          </cell>
          <cell r="D30" t="str">
            <v>LBS</v>
          </cell>
          <cell r="E30">
            <v>15</v>
          </cell>
          <cell r="F30">
            <v>0</v>
          </cell>
          <cell r="G30">
            <v>15</v>
          </cell>
          <cell r="H30">
            <v>15</v>
          </cell>
        </row>
        <row r="31">
          <cell r="A31">
            <v>17</v>
          </cell>
          <cell r="B31" t="str">
            <v>CUCUMBER</v>
          </cell>
          <cell r="C31" t="str">
            <v>LBS</v>
          </cell>
          <cell r="D31" t="str">
            <v>LBS</v>
          </cell>
          <cell r="E31">
            <v>99.79</v>
          </cell>
          <cell r="F31">
            <v>99.79</v>
          </cell>
          <cell r="G31">
            <v>99.79</v>
          </cell>
          <cell r="H31">
            <v>99.79</v>
          </cell>
        </row>
        <row r="32">
          <cell r="A32">
            <v>18</v>
          </cell>
          <cell r="B32" t="str">
            <v>PICKELS</v>
          </cell>
          <cell r="C32" t="str">
            <v>LBS</v>
          </cell>
          <cell r="D32" t="str">
            <v>LBS</v>
          </cell>
          <cell r="E32">
            <v>25</v>
          </cell>
          <cell r="F32">
            <v>30.95</v>
          </cell>
          <cell r="G32">
            <v>27.975000000000001</v>
          </cell>
          <cell r="H32">
            <v>27.975000000000001</v>
          </cell>
        </row>
        <row r="33">
          <cell r="A33">
            <v>19</v>
          </cell>
          <cell r="B33" t="str">
            <v>GREEN ONIONS</v>
          </cell>
          <cell r="C33" t="str">
            <v>LBS</v>
          </cell>
          <cell r="D33" t="str">
            <v>LBS</v>
          </cell>
          <cell r="E33">
            <v>30</v>
          </cell>
          <cell r="F33">
            <v>30</v>
          </cell>
          <cell r="G33">
            <v>30</v>
          </cell>
          <cell r="H33">
            <v>30</v>
          </cell>
        </row>
        <row r="34">
          <cell r="A34">
            <v>20</v>
          </cell>
          <cell r="B34" t="str">
            <v>GREENS</v>
          </cell>
          <cell r="C34" t="str">
            <v>LBS</v>
          </cell>
          <cell r="D34" t="str">
            <v>LBS</v>
          </cell>
          <cell r="E34">
            <v>7.2</v>
          </cell>
          <cell r="F34">
            <v>7.2</v>
          </cell>
          <cell r="G34">
            <v>7.2</v>
          </cell>
          <cell r="H34">
            <v>7.2</v>
          </cell>
        </row>
        <row r="35">
          <cell r="A35">
            <v>21</v>
          </cell>
          <cell r="B35" t="str">
            <v>LIMA BEANS</v>
          </cell>
          <cell r="C35" t="str">
            <v>LBS</v>
          </cell>
          <cell r="D35" t="str">
            <v>LBS</v>
          </cell>
          <cell r="E35">
            <v>1.6</v>
          </cell>
          <cell r="F35">
            <v>1.79</v>
          </cell>
          <cell r="G35">
            <v>1.6950000000000001</v>
          </cell>
          <cell r="H35">
            <v>1.6950000000000001</v>
          </cell>
        </row>
        <row r="36">
          <cell r="A36">
            <v>22</v>
          </cell>
          <cell r="B36" t="str">
            <v>OKRA</v>
          </cell>
          <cell r="C36" t="str">
            <v>LBS</v>
          </cell>
          <cell r="D36" t="str">
            <v>LBS</v>
          </cell>
          <cell r="E36">
            <v>2.8</v>
          </cell>
          <cell r="F36">
            <v>2.88</v>
          </cell>
          <cell r="G36">
            <v>2.84</v>
          </cell>
          <cell r="H36">
            <v>2.84</v>
          </cell>
        </row>
        <row r="37">
          <cell r="A37">
            <v>23</v>
          </cell>
          <cell r="B37" t="str">
            <v>SOUTHERN PEAS</v>
          </cell>
          <cell r="C37" t="str">
            <v>LBS</v>
          </cell>
          <cell r="D37" t="str">
            <v>LBS</v>
          </cell>
          <cell r="E37">
            <v>1.35</v>
          </cell>
          <cell r="F37">
            <v>1.69</v>
          </cell>
          <cell r="G37">
            <v>1.52</v>
          </cell>
          <cell r="H37">
            <v>1.52</v>
          </cell>
        </row>
        <row r="38">
          <cell r="A38">
            <v>24</v>
          </cell>
          <cell r="B38" t="str">
            <v>SNAP BEANS</v>
          </cell>
          <cell r="C38" t="str">
            <v>LBS</v>
          </cell>
          <cell r="D38" t="str">
            <v>LBS</v>
          </cell>
          <cell r="E38">
            <v>5.25</v>
          </cell>
          <cell r="F38">
            <v>5.49</v>
          </cell>
          <cell r="G38">
            <v>5.37</v>
          </cell>
          <cell r="H38">
            <v>5.37</v>
          </cell>
        </row>
        <row r="39">
          <cell r="A39">
            <v>25</v>
          </cell>
          <cell r="B39" t="str">
            <v>SQUASH, YELLOW</v>
          </cell>
          <cell r="C39" t="str">
            <v>LBS</v>
          </cell>
          <cell r="D39" t="str">
            <v>LBS</v>
          </cell>
          <cell r="E39">
            <v>80</v>
          </cell>
          <cell r="F39">
            <v>80.69</v>
          </cell>
          <cell r="G39">
            <v>80.344999999999999</v>
          </cell>
          <cell r="H39">
            <v>80.344999999999999</v>
          </cell>
        </row>
        <row r="40">
          <cell r="A40">
            <v>26</v>
          </cell>
          <cell r="B40" t="str">
            <v>SWEET POTATOES</v>
          </cell>
          <cell r="C40" t="str">
            <v>LBS</v>
          </cell>
          <cell r="D40" t="str">
            <v>LBS</v>
          </cell>
          <cell r="E40">
            <v>28</v>
          </cell>
          <cell r="F40">
            <v>0</v>
          </cell>
          <cell r="G40">
            <v>28</v>
          </cell>
          <cell r="H40">
            <v>28</v>
          </cell>
        </row>
        <row r="41">
          <cell r="A41">
            <v>27</v>
          </cell>
          <cell r="B41" t="str">
            <v>TOMATOES</v>
          </cell>
          <cell r="C41" t="str">
            <v>EACH</v>
          </cell>
          <cell r="D41" t="str">
            <v>EACH</v>
          </cell>
          <cell r="E41">
            <v>0.12</v>
          </cell>
          <cell r="F41">
            <v>0</v>
          </cell>
          <cell r="G41">
            <v>0.12</v>
          </cell>
          <cell r="H41">
            <v>0.12</v>
          </cell>
        </row>
        <row r="42">
          <cell r="A42">
            <v>28</v>
          </cell>
          <cell r="B42" t="str">
            <v>CANTALOUPES</v>
          </cell>
          <cell r="C42" t="str">
            <v>THOU.</v>
          </cell>
          <cell r="D42" t="str">
            <v>THOU.</v>
          </cell>
          <cell r="E42">
            <v>110</v>
          </cell>
          <cell r="F42">
            <v>0</v>
          </cell>
          <cell r="G42">
            <v>110</v>
          </cell>
          <cell r="H42">
            <v>110</v>
          </cell>
        </row>
        <row r="43">
          <cell r="A43">
            <v>29</v>
          </cell>
          <cell r="B43" t="str">
            <v>WATERMELONS - PLASTIC</v>
          </cell>
          <cell r="C43" t="str">
            <v>THOU.</v>
          </cell>
          <cell r="D43" t="str">
            <v>THOU.</v>
          </cell>
          <cell r="E43">
            <v>210</v>
          </cell>
          <cell r="F43">
            <v>0</v>
          </cell>
          <cell r="G43">
            <v>210</v>
          </cell>
          <cell r="H43">
            <v>210</v>
          </cell>
        </row>
        <row r="44">
          <cell r="A44">
            <v>30</v>
          </cell>
          <cell r="B44" t="str">
            <v>WATERMELONS - BARE GR.</v>
          </cell>
          <cell r="C44" t="str">
            <v>LBS</v>
          </cell>
          <cell r="D44" t="str">
            <v>LBS</v>
          </cell>
          <cell r="E44">
            <v>14</v>
          </cell>
          <cell r="F44">
            <v>0</v>
          </cell>
          <cell r="G44">
            <v>14</v>
          </cell>
          <cell r="H44">
            <v>14</v>
          </cell>
        </row>
        <row r="46">
          <cell r="A46" t="str">
            <v>FERTILIZER &amp; LIME</v>
          </cell>
        </row>
        <row r="47">
          <cell r="A47">
            <v>31</v>
          </cell>
          <cell r="B47" t="str">
            <v>5-10-10</v>
          </cell>
          <cell r="C47" t="str">
            <v>TON</v>
          </cell>
          <cell r="D47" t="str">
            <v>LBS</v>
          </cell>
          <cell r="E47">
            <v>410</v>
          </cell>
          <cell r="F47">
            <v>400</v>
          </cell>
          <cell r="G47">
            <v>405</v>
          </cell>
          <cell r="H47">
            <v>0.2</v>
          </cell>
        </row>
        <row r="48">
          <cell r="A48">
            <v>31.1</v>
          </cell>
          <cell r="B48" t="str">
            <v>5-10-10 (VEGETABLES)</v>
          </cell>
          <cell r="C48" t="str">
            <v>TON</v>
          </cell>
          <cell r="D48" t="str">
            <v>CWT</v>
          </cell>
          <cell r="E48">
            <v>410</v>
          </cell>
          <cell r="F48">
            <v>400</v>
          </cell>
          <cell r="G48">
            <v>405</v>
          </cell>
          <cell r="H48">
            <v>20.25</v>
          </cell>
        </row>
        <row r="49">
          <cell r="A49">
            <v>32</v>
          </cell>
          <cell r="B49" t="str">
            <v>10-10-10</v>
          </cell>
          <cell r="C49" t="str">
            <v>TON</v>
          </cell>
          <cell r="D49" t="str">
            <v>LBS</v>
          </cell>
          <cell r="E49">
            <v>245</v>
          </cell>
          <cell r="F49">
            <v>475</v>
          </cell>
          <cell r="G49">
            <v>360</v>
          </cell>
          <cell r="H49">
            <v>0.18</v>
          </cell>
        </row>
        <row r="50">
          <cell r="A50">
            <v>32.1</v>
          </cell>
          <cell r="B50" t="str">
            <v>10-10-10 (VEGETABLES)</v>
          </cell>
          <cell r="C50" t="str">
            <v>TON</v>
          </cell>
          <cell r="D50" t="str">
            <v>LBS</v>
          </cell>
          <cell r="E50">
            <v>500</v>
          </cell>
          <cell r="F50">
            <v>475</v>
          </cell>
          <cell r="G50">
            <v>487.5</v>
          </cell>
          <cell r="H50">
            <v>0.24</v>
          </cell>
        </row>
        <row r="51">
          <cell r="A51">
            <v>32.200000000000003</v>
          </cell>
          <cell r="B51" t="str">
            <v>12-24-18</v>
          </cell>
          <cell r="C51" t="str">
            <v>TON</v>
          </cell>
          <cell r="D51" t="str">
            <v>LBS</v>
          </cell>
          <cell r="E51">
            <v>500</v>
          </cell>
          <cell r="F51">
            <v>500</v>
          </cell>
          <cell r="G51">
            <v>500</v>
          </cell>
          <cell r="H51">
            <v>0.25</v>
          </cell>
        </row>
        <row r="52">
          <cell r="A52">
            <v>32.299999999999997</v>
          </cell>
          <cell r="B52" t="str">
            <v>8-0-8 (LIQ.)</v>
          </cell>
          <cell r="C52" t="str">
            <v>TON</v>
          </cell>
          <cell r="D52" t="str">
            <v>GAL</v>
          </cell>
          <cell r="E52">
            <v>500</v>
          </cell>
          <cell r="F52">
            <v>500</v>
          </cell>
          <cell r="G52">
            <v>500</v>
          </cell>
          <cell r="H52">
            <v>2</v>
          </cell>
        </row>
        <row r="53">
          <cell r="A53">
            <v>32.4</v>
          </cell>
          <cell r="B53" t="str">
            <v>18-24-12</v>
          </cell>
          <cell r="C53" t="str">
            <v>TON</v>
          </cell>
          <cell r="D53" t="str">
            <v>LBS</v>
          </cell>
          <cell r="E53">
            <v>500</v>
          </cell>
          <cell r="F53">
            <v>500</v>
          </cell>
          <cell r="G53">
            <v>500</v>
          </cell>
          <cell r="H53">
            <v>0.25</v>
          </cell>
        </row>
        <row r="54">
          <cell r="A54">
            <v>33</v>
          </cell>
          <cell r="B54" t="str">
            <v>0-10-30</v>
          </cell>
          <cell r="C54" t="str">
            <v>TON</v>
          </cell>
          <cell r="D54" t="str">
            <v>LBS</v>
          </cell>
          <cell r="E54">
            <v>300</v>
          </cell>
          <cell r="F54">
            <v>300</v>
          </cell>
          <cell r="G54">
            <v>300</v>
          </cell>
          <cell r="H54">
            <v>0.5</v>
          </cell>
        </row>
        <row r="55">
          <cell r="A55">
            <v>33.1</v>
          </cell>
          <cell r="B55" t="str">
            <v>15-0-14</v>
          </cell>
          <cell r="C55" t="str">
            <v>TON</v>
          </cell>
          <cell r="D55" t="str">
            <v>LBS</v>
          </cell>
          <cell r="E55">
            <v>500</v>
          </cell>
          <cell r="F55">
            <v>500</v>
          </cell>
          <cell r="G55">
            <v>500</v>
          </cell>
          <cell r="H55">
            <v>0.83</v>
          </cell>
        </row>
        <row r="56">
          <cell r="A56">
            <v>33.200000000000003</v>
          </cell>
          <cell r="B56" t="str">
            <v>4-12-12</v>
          </cell>
          <cell r="C56" t="str">
            <v>TON</v>
          </cell>
          <cell r="D56" t="str">
            <v>LBS</v>
          </cell>
          <cell r="E56">
            <v>400</v>
          </cell>
          <cell r="F56">
            <v>400</v>
          </cell>
          <cell r="G56">
            <v>400</v>
          </cell>
          <cell r="H56">
            <v>0.67</v>
          </cell>
        </row>
        <row r="57">
          <cell r="A57">
            <v>33.299999999999997</v>
          </cell>
          <cell r="B57" t="str">
            <v>3-9-18</v>
          </cell>
          <cell r="C57" t="str">
            <v>TON</v>
          </cell>
          <cell r="D57" t="str">
            <v>LBS</v>
          </cell>
          <cell r="E57">
            <v>400</v>
          </cell>
          <cell r="F57">
            <v>400</v>
          </cell>
          <cell r="G57">
            <v>400</v>
          </cell>
          <cell r="H57">
            <v>0.67</v>
          </cell>
        </row>
        <row r="58">
          <cell r="A58">
            <v>33.4</v>
          </cell>
          <cell r="B58" t="str">
            <v>10-8-20</v>
          </cell>
          <cell r="C58" t="str">
            <v>TON</v>
          </cell>
          <cell r="D58" t="str">
            <v>LBS</v>
          </cell>
          <cell r="E58">
            <v>550</v>
          </cell>
          <cell r="F58">
            <v>570</v>
          </cell>
          <cell r="G58">
            <v>560</v>
          </cell>
          <cell r="H58">
            <v>0.93</v>
          </cell>
        </row>
        <row r="59">
          <cell r="A59">
            <v>33.5</v>
          </cell>
          <cell r="B59" t="str">
            <v>7-0-7 (LIQ.) - SIDE DRESSING</v>
          </cell>
          <cell r="C59" t="str">
            <v>TON</v>
          </cell>
          <cell r="D59" t="str">
            <v>GAL</v>
          </cell>
          <cell r="E59">
            <v>500</v>
          </cell>
          <cell r="F59">
            <v>450</v>
          </cell>
          <cell r="G59">
            <v>475</v>
          </cell>
          <cell r="H59">
            <v>27.14</v>
          </cell>
        </row>
        <row r="60">
          <cell r="A60">
            <v>33.6</v>
          </cell>
          <cell r="B60" t="str">
            <v>14-0-14 - SIDE DRESSING</v>
          </cell>
          <cell r="C60" t="str">
            <v>TON</v>
          </cell>
          <cell r="D60" t="str">
            <v>LBS</v>
          </cell>
          <cell r="E60">
            <v>400</v>
          </cell>
          <cell r="F60">
            <v>400</v>
          </cell>
          <cell r="G60">
            <v>400</v>
          </cell>
          <cell r="H60">
            <v>0.2</v>
          </cell>
        </row>
        <row r="61">
          <cell r="A61">
            <v>33.700000000000003</v>
          </cell>
          <cell r="B61" t="str">
            <v>3-9-24</v>
          </cell>
          <cell r="C61" t="str">
            <v>TON</v>
          </cell>
          <cell r="D61" t="str">
            <v>LBS</v>
          </cell>
          <cell r="E61">
            <v>525</v>
          </cell>
          <cell r="F61">
            <v>475</v>
          </cell>
          <cell r="G61">
            <v>500</v>
          </cell>
          <cell r="H61">
            <v>0.25</v>
          </cell>
        </row>
        <row r="62">
          <cell r="A62">
            <v>34</v>
          </cell>
          <cell r="B62" t="str">
            <v>30% NITROGEN SOLUTION</v>
          </cell>
          <cell r="C62" t="str">
            <v>TON</v>
          </cell>
          <cell r="D62" t="str">
            <v>LBS</v>
          </cell>
          <cell r="E62">
            <v>225</v>
          </cell>
          <cell r="F62">
            <v>273</v>
          </cell>
          <cell r="G62">
            <v>249</v>
          </cell>
          <cell r="H62">
            <v>0.12</v>
          </cell>
        </row>
        <row r="63">
          <cell r="A63">
            <v>34.1</v>
          </cell>
          <cell r="B63" t="str">
            <v>30% NITROGEN SOLUTION SPREAD</v>
          </cell>
          <cell r="C63" t="str">
            <v>TON</v>
          </cell>
          <cell r="D63" t="str">
            <v>LBS</v>
          </cell>
          <cell r="E63">
            <v>450</v>
          </cell>
          <cell r="F63">
            <v>450</v>
          </cell>
          <cell r="G63">
            <v>450</v>
          </cell>
          <cell r="H63">
            <v>0.23</v>
          </cell>
        </row>
        <row r="64">
          <cell r="A64">
            <v>34.200000000000003</v>
          </cell>
          <cell r="B64" t="str">
            <v>100% CALCIUM NITRATE</v>
          </cell>
          <cell r="C64" t="str">
            <v>TON</v>
          </cell>
          <cell r="D64" t="str">
            <v>LBS</v>
          </cell>
          <cell r="E64">
            <v>417</v>
          </cell>
          <cell r="F64">
            <v>530</v>
          </cell>
          <cell r="G64">
            <v>473.5</v>
          </cell>
          <cell r="H64">
            <v>0.24</v>
          </cell>
        </row>
        <row r="65">
          <cell r="A65">
            <v>34.299999999999997</v>
          </cell>
          <cell r="B65" t="str">
            <v>CALCIUM NITRATE 15.5-0-0</v>
          </cell>
          <cell r="C65" t="str">
            <v>TON</v>
          </cell>
          <cell r="D65" t="str">
            <v>CWT</v>
          </cell>
          <cell r="E65">
            <v>417</v>
          </cell>
          <cell r="F65">
            <v>530</v>
          </cell>
          <cell r="G65">
            <v>473.5</v>
          </cell>
          <cell r="H65">
            <v>23.68</v>
          </cell>
        </row>
        <row r="66">
          <cell r="A66">
            <v>34.5</v>
          </cell>
          <cell r="B66" t="str">
            <v>UREA 46-0-0</v>
          </cell>
          <cell r="C66" t="str">
            <v>TON</v>
          </cell>
          <cell r="D66" t="str">
            <v>LBS</v>
          </cell>
          <cell r="E66">
            <v>366</v>
          </cell>
          <cell r="F66">
            <v>389</v>
          </cell>
          <cell r="G66">
            <v>377.5</v>
          </cell>
          <cell r="H66">
            <v>0.19</v>
          </cell>
        </row>
        <row r="67">
          <cell r="A67">
            <v>35</v>
          </cell>
          <cell r="B67" t="str">
            <v>33.5% AMMONIUM NITRATE</v>
          </cell>
          <cell r="C67" t="str">
            <v>TON</v>
          </cell>
          <cell r="D67" t="str">
            <v>LBS</v>
          </cell>
          <cell r="E67">
            <v>580</v>
          </cell>
          <cell r="F67">
            <v>590</v>
          </cell>
          <cell r="G67">
            <v>585</v>
          </cell>
          <cell r="H67">
            <v>0.87</v>
          </cell>
        </row>
        <row r="68">
          <cell r="A68">
            <v>35.1</v>
          </cell>
          <cell r="B68" t="str">
            <v>33.5% NITROGEN - SIDE DRESSING</v>
          </cell>
          <cell r="C68" t="str">
            <v>TON</v>
          </cell>
          <cell r="D68" t="str">
            <v>LBS</v>
          </cell>
          <cell r="E68">
            <v>625</v>
          </cell>
          <cell r="F68">
            <v>625</v>
          </cell>
          <cell r="G68">
            <v>625</v>
          </cell>
          <cell r="H68">
            <v>0.93</v>
          </cell>
        </row>
        <row r="69">
          <cell r="A69">
            <v>35.200000000000003</v>
          </cell>
          <cell r="B69" t="str">
            <v>30% N (LIQ) - SIDE DRESSING</v>
          </cell>
          <cell r="C69" t="str">
            <v>TON</v>
          </cell>
          <cell r="D69" t="str">
            <v>LBS</v>
          </cell>
          <cell r="E69">
            <v>385</v>
          </cell>
          <cell r="F69">
            <v>385</v>
          </cell>
          <cell r="G69">
            <v>385</v>
          </cell>
          <cell r="H69">
            <v>0.64</v>
          </cell>
        </row>
        <row r="70">
          <cell r="A70">
            <v>35.299999999999997</v>
          </cell>
          <cell r="B70" t="str">
            <v>AMMONIA SULFATE (24 S)</v>
          </cell>
          <cell r="C70" t="str">
            <v>TON</v>
          </cell>
          <cell r="D70" t="str">
            <v>LBS</v>
          </cell>
          <cell r="E70">
            <v>260</v>
          </cell>
          <cell r="F70">
            <v>393</v>
          </cell>
          <cell r="G70">
            <v>326.5</v>
          </cell>
          <cell r="H70">
            <v>0.68</v>
          </cell>
        </row>
        <row r="71">
          <cell r="A71">
            <v>35.4</v>
          </cell>
          <cell r="B71" t="str">
            <v>30% N (LIQ) - SIDE DRESSING (VEG.)</v>
          </cell>
          <cell r="C71" t="str">
            <v>TON</v>
          </cell>
          <cell r="D71" t="str">
            <v>LBS</v>
          </cell>
          <cell r="E71">
            <v>385</v>
          </cell>
          <cell r="F71">
            <v>385</v>
          </cell>
          <cell r="G71">
            <v>385</v>
          </cell>
          <cell r="H71">
            <v>0.64</v>
          </cell>
        </row>
        <row r="72">
          <cell r="A72">
            <v>35.5</v>
          </cell>
          <cell r="B72" t="str">
            <v>33.5% N - SIDE DRESSING (VEG.)</v>
          </cell>
          <cell r="C72" t="str">
            <v>TON</v>
          </cell>
          <cell r="D72" t="str">
            <v>LBS</v>
          </cell>
          <cell r="E72">
            <v>625</v>
          </cell>
          <cell r="F72">
            <v>625</v>
          </cell>
          <cell r="G72">
            <v>625</v>
          </cell>
          <cell r="H72">
            <v>0.31</v>
          </cell>
        </row>
        <row r="73">
          <cell r="A73">
            <v>35.6</v>
          </cell>
          <cell r="B73" t="str">
            <v>34.5% AMMONIUM NITRATE</v>
          </cell>
          <cell r="C73" t="str">
            <v>TON</v>
          </cell>
          <cell r="D73" t="str">
            <v>LBS</v>
          </cell>
          <cell r="E73">
            <v>580</v>
          </cell>
          <cell r="F73">
            <v>590</v>
          </cell>
          <cell r="G73">
            <v>585</v>
          </cell>
          <cell r="H73">
            <v>0.28999999999999998</v>
          </cell>
        </row>
        <row r="74">
          <cell r="A74">
            <v>36</v>
          </cell>
          <cell r="B74" t="str">
            <v>60% MURATE OF POTASH</v>
          </cell>
          <cell r="C74" t="str">
            <v>TON</v>
          </cell>
          <cell r="D74" t="str">
            <v>LBS</v>
          </cell>
          <cell r="E74">
            <v>320</v>
          </cell>
          <cell r="F74">
            <v>485</v>
          </cell>
          <cell r="G74">
            <v>402.5</v>
          </cell>
          <cell r="H74">
            <v>0.2</v>
          </cell>
        </row>
        <row r="75">
          <cell r="A75">
            <v>36.1</v>
          </cell>
          <cell r="B75" t="str">
            <v>0-0-50 POTASSIUM SULFATE</v>
          </cell>
          <cell r="C75" t="str">
            <v>TON</v>
          </cell>
          <cell r="D75" t="str">
            <v>CWT</v>
          </cell>
          <cell r="E75">
            <v>675</v>
          </cell>
          <cell r="F75">
            <v>755</v>
          </cell>
          <cell r="G75">
            <v>715</v>
          </cell>
          <cell r="H75">
            <v>35.75</v>
          </cell>
        </row>
        <row r="76">
          <cell r="A76">
            <v>37</v>
          </cell>
          <cell r="B76" t="str">
            <v xml:space="preserve">46% SUPERPHOSPHATE </v>
          </cell>
          <cell r="C76" t="str">
            <v>TON</v>
          </cell>
          <cell r="D76" t="str">
            <v>LBS</v>
          </cell>
          <cell r="E76">
            <v>635</v>
          </cell>
          <cell r="F76">
            <v>635</v>
          </cell>
          <cell r="G76">
            <v>635</v>
          </cell>
          <cell r="H76">
            <v>0.32</v>
          </cell>
        </row>
        <row r="77">
          <cell r="A77">
            <v>37.1</v>
          </cell>
          <cell r="B77" t="str">
            <v>100% SULFUR</v>
          </cell>
          <cell r="C77" t="str">
            <v>TON</v>
          </cell>
          <cell r="D77" t="str">
            <v>LBS</v>
          </cell>
          <cell r="E77">
            <v>550</v>
          </cell>
          <cell r="F77">
            <v>550</v>
          </cell>
          <cell r="G77">
            <v>550</v>
          </cell>
          <cell r="H77">
            <v>0.28000000000000003</v>
          </cell>
        </row>
        <row r="78">
          <cell r="A78">
            <v>38</v>
          </cell>
          <cell r="B78" t="str">
            <v>18-46-0 DAP</v>
          </cell>
          <cell r="C78" t="str">
            <v>TON</v>
          </cell>
          <cell r="D78" t="str">
            <v>LBS</v>
          </cell>
          <cell r="E78">
            <v>400</v>
          </cell>
          <cell r="F78">
            <v>572</v>
          </cell>
          <cell r="G78">
            <v>486</v>
          </cell>
          <cell r="H78">
            <v>0.24</v>
          </cell>
        </row>
        <row r="79">
          <cell r="A79">
            <v>39</v>
          </cell>
          <cell r="B79" t="str">
            <v>LIME BULK</v>
          </cell>
          <cell r="C79" t="str">
            <v>TON</v>
          </cell>
          <cell r="D79" t="str">
            <v>TON</v>
          </cell>
          <cell r="E79">
            <v>150</v>
          </cell>
          <cell r="F79">
            <v>222</v>
          </cell>
          <cell r="G79">
            <v>186</v>
          </cell>
          <cell r="H79">
            <v>186</v>
          </cell>
        </row>
        <row r="80">
          <cell r="A80">
            <v>40</v>
          </cell>
          <cell r="B80" t="str">
            <v>LIME SPREAD</v>
          </cell>
          <cell r="C80" t="str">
            <v>TON</v>
          </cell>
          <cell r="D80" t="str">
            <v>TON</v>
          </cell>
          <cell r="E80">
            <v>36</v>
          </cell>
          <cell r="F80">
            <v>56</v>
          </cell>
          <cell r="G80">
            <v>46</v>
          </cell>
          <cell r="H80">
            <v>46</v>
          </cell>
        </row>
        <row r="81">
          <cell r="A81">
            <v>40.1</v>
          </cell>
          <cell r="B81" t="str">
            <v>CALCIUM SULFATE SPREAD (GYPSUM)</v>
          </cell>
          <cell r="C81" t="str">
            <v>TON</v>
          </cell>
          <cell r="D81" t="str">
            <v>TON</v>
          </cell>
          <cell r="E81">
            <v>37</v>
          </cell>
          <cell r="F81">
            <v>58.5</v>
          </cell>
          <cell r="G81">
            <v>47.75</v>
          </cell>
          <cell r="H81">
            <v>47.75</v>
          </cell>
        </row>
        <row r="82">
          <cell r="A82">
            <v>41</v>
          </cell>
          <cell r="B82" t="str">
            <v>COST TO SPREAD 1 TN ON AN ACRE</v>
          </cell>
          <cell r="C82" t="str">
            <v>ACRE</v>
          </cell>
          <cell r="D82" t="str">
            <v>ACRE</v>
          </cell>
          <cell r="E82">
            <v>10</v>
          </cell>
          <cell r="F82">
            <v>10</v>
          </cell>
          <cell r="G82">
            <v>10</v>
          </cell>
          <cell r="H82">
            <v>10</v>
          </cell>
        </row>
        <row r="83">
          <cell r="A83">
            <v>42</v>
          </cell>
          <cell r="B83" t="str">
            <v>6-6-18 (TOBACCO)</v>
          </cell>
          <cell r="C83" t="str">
            <v>TON</v>
          </cell>
          <cell r="D83" t="str">
            <v>CWT</v>
          </cell>
          <cell r="E83">
            <v>385</v>
          </cell>
          <cell r="F83">
            <v>500</v>
          </cell>
          <cell r="G83">
            <v>442.5</v>
          </cell>
          <cell r="H83">
            <v>22.13</v>
          </cell>
        </row>
        <row r="84">
          <cell r="A84">
            <v>43</v>
          </cell>
          <cell r="B84" t="str">
            <v>15-0-14 (TOBACCO)</v>
          </cell>
          <cell r="C84" t="str">
            <v>TON</v>
          </cell>
          <cell r="D84" t="str">
            <v>CWT</v>
          </cell>
          <cell r="E84">
            <v>388</v>
          </cell>
          <cell r="F84">
            <v>487</v>
          </cell>
          <cell r="G84">
            <v>437.5</v>
          </cell>
          <cell r="H84">
            <v>21.88</v>
          </cell>
        </row>
        <row r="85">
          <cell r="A85">
            <v>44</v>
          </cell>
          <cell r="B85" t="str">
            <v>SOLUBOR</v>
          </cell>
          <cell r="C85" t="str">
            <v>LBS</v>
          </cell>
          <cell r="D85" t="str">
            <v>LBS</v>
          </cell>
          <cell r="E85">
            <v>1.2</v>
          </cell>
          <cell r="F85">
            <v>1.5</v>
          </cell>
          <cell r="G85">
            <v>1.35</v>
          </cell>
          <cell r="H85">
            <v>1.35</v>
          </cell>
        </row>
        <row r="86">
          <cell r="A86">
            <v>44.1</v>
          </cell>
          <cell r="B86" t="str">
            <v>INOCULANT</v>
          </cell>
          <cell r="C86" t="str">
            <v>OZ</v>
          </cell>
          <cell r="D86" t="str">
            <v>OZ</v>
          </cell>
          <cell r="E86">
            <v>0.85</v>
          </cell>
          <cell r="F86">
            <v>1.1000000000000001</v>
          </cell>
          <cell r="G86">
            <v>0.97500000000000009</v>
          </cell>
          <cell r="H86">
            <v>0.98</v>
          </cell>
        </row>
        <row r="87">
          <cell r="A87">
            <v>44.2</v>
          </cell>
          <cell r="B87" t="str">
            <v>MANGANESE SULFATE</v>
          </cell>
          <cell r="C87" t="str">
            <v>TON</v>
          </cell>
          <cell r="D87" t="str">
            <v>LBS</v>
          </cell>
          <cell r="E87">
            <v>800</v>
          </cell>
          <cell r="F87">
            <v>600</v>
          </cell>
          <cell r="G87">
            <v>700</v>
          </cell>
          <cell r="H87">
            <v>0.35</v>
          </cell>
        </row>
        <row r="89">
          <cell r="A89" t="str">
            <v>FORAGE SEED</v>
          </cell>
        </row>
        <row r="90">
          <cell r="A90">
            <v>45</v>
          </cell>
          <cell r="B90" t="str">
            <v>TALL FESCUE</v>
          </cell>
          <cell r="C90" t="str">
            <v>LBS</v>
          </cell>
          <cell r="D90" t="str">
            <v>LBS</v>
          </cell>
          <cell r="E90">
            <v>1.3</v>
          </cell>
          <cell r="F90">
            <v>1</v>
          </cell>
          <cell r="G90">
            <v>1.1499999999999999</v>
          </cell>
          <cell r="H90">
            <v>1.1499999999999999</v>
          </cell>
        </row>
      </sheetData>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Nicholas E Piggott" id="{2F6E6029-88B7-4567-8DD0-E4E8B1E3D251}" userId="S::nick@ncsu.edu::7e0a397c-f933-478c-9902-c2c4e22381da" providerId="AD"/>
  <person displayName="Derek Alan Washburn" id="{58043206-478C-43A6-8B62-7677D30E1FD2}" userId="S::dawashbu@ncsu.edu::9b885de3-f230-4d3f-bc2b-2b54b3ccbb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9" dT="2021-10-19T13:44:36.33" personId="{2F6E6029-88B7-4567-8DD0-E4E8B1E3D251}" id="{69B8F56E-16CB-44EF-AE28-DFF626946DAB}">
    <text>Corn_Dec22</text>
  </threadedComment>
  <threadedComment ref="D9" dT="2021-10-19T13:45:41.78" personId="{2F6E6029-88B7-4567-8DD0-E4E8B1E3D251}" id="{A3B38D96-9107-468F-B9B5-230306BCE04A}">
    <text>Corn_Jul22</text>
  </threadedComment>
  <threadedComment ref="F9" dT="2021-10-19T15:25:02.80" personId="{2F6E6029-88B7-4567-8DD0-E4E8B1E3D251}" id="{864D2B5F-C3EE-4B19-A5A9-FDA28B89084A}">
    <text>NYBOT CT-Dec22</text>
  </threadedComment>
</ThreadedComments>
</file>

<file path=xl/threadedComments/threadedComment2.xml><?xml version="1.0" encoding="utf-8"?>
<ThreadedComments xmlns="http://schemas.microsoft.com/office/spreadsheetml/2018/threadedcomments" xmlns:x="http://schemas.openxmlformats.org/spreadsheetml/2006/main">
  <threadedComment ref="A49" dT="2021-12-01T16:51:03.24" personId="{58043206-478C-43A6-8B62-7677D30E1FD2}" id="{E941AF73-4AD9-48FD-9EFC-08B376E02683}">
    <text>Note: this  is how much of the total variable cost is fertilzier and pesticide cost as a percentage.
Example: 40 percent of my variable cost in planting and harvesting corn is spent on fertilzier and pesticides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als.ncsu.edu/are-extension/business-planning-and-operations/enterprise-budget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97"/>
  <sheetViews>
    <sheetView tabSelected="1" zoomScaleNormal="100" zoomScaleSheetLayoutView="80" workbookViewId="0">
      <pane ySplit="4" topLeftCell="A53" activePane="bottomLeft" state="frozen"/>
      <selection pane="bottomLeft" activeCell="B77" sqref="B77:B79"/>
    </sheetView>
  </sheetViews>
  <sheetFormatPr defaultColWidth="9.140625" defaultRowHeight="14.25" x14ac:dyDescent="0.2"/>
  <cols>
    <col min="1" max="1" width="9.140625" style="21"/>
    <col min="2" max="2" width="47.85546875" style="21" customWidth="1"/>
    <col min="3" max="10" width="13.140625" style="21" customWidth="1"/>
    <col min="11" max="16384" width="9.140625" style="21"/>
  </cols>
  <sheetData>
    <row r="1" spans="2:22" ht="29.65" customHeight="1" x14ac:dyDescent="0.35">
      <c r="B1" s="245" t="s">
        <v>257</v>
      </c>
      <c r="C1" s="245"/>
      <c r="D1" s="245"/>
      <c r="E1" s="245"/>
      <c r="F1" s="245"/>
      <c r="G1" s="245"/>
      <c r="H1" s="245"/>
      <c r="I1" s="245"/>
      <c r="J1" s="245"/>
    </row>
    <row r="2" spans="2:22" ht="15" thickBot="1" x14ac:dyDescent="0.25"/>
    <row r="3" spans="2:22" ht="15.75" thickBot="1" x14ac:dyDescent="0.25">
      <c r="B3" s="61" t="s">
        <v>226</v>
      </c>
      <c r="C3" s="117">
        <v>100</v>
      </c>
      <c r="D3" s="60"/>
      <c r="E3" s="60"/>
      <c r="H3" s="61"/>
      <c r="I3" s="126"/>
    </row>
    <row r="4" spans="2:22" ht="33" customHeight="1" x14ac:dyDescent="0.25">
      <c r="B4" s="60"/>
      <c r="C4" s="62" t="s">
        <v>0</v>
      </c>
      <c r="D4" s="62" t="s">
        <v>20</v>
      </c>
      <c r="E4" s="62" t="s">
        <v>2</v>
      </c>
      <c r="F4" s="62" t="s">
        <v>21</v>
      </c>
      <c r="G4" s="62" t="s">
        <v>13</v>
      </c>
      <c r="H4" s="62" t="s">
        <v>162</v>
      </c>
      <c r="I4" s="62" t="s">
        <v>163</v>
      </c>
      <c r="J4" s="163" t="s">
        <v>216</v>
      </c>
    </row>
    <row r="5" spans="2:22" ht="24.6" customHeight="1" x14ac:dyDescent="0.25">
      <c r="B5" s="246" t="s">
        <v>255</v>
      </c>
      <c r="C5" s="246"/>
      <c r="D5" s="246"/>
      <c r="E5" s="246"/>
      <c r="F5" s="246"/>
      <c r="G5" s="246"/>
      <c r="H5" s="246"/>
      <c r="I5" s="246"/>
      <c r="J5" s="246"/>
    </row>
    <row r="6" spans="2:22" ht="21" customHeight="1" x14ac:dyDescent="0.25">
      <c r="B6" s="20" t="s">
        <v>64</v>
      </c>
      <c r="C6" s="137">
        <v>140</v>
      </c>
      <c r="D6" s="138">
        <v>60</v>
      </c>
      <c r="E6" s="139">
        <v>70</v>
      </c>
      <c r="F6" s="139">
        <v>65</v>
      </c>
      <c r="G6" s="63" t="s">
        <v>9</v>
      </c>
      <c r="H6" s="63" t="s">
        <v>9</v>
      </c>
      <c r="I6" s="63" t="s">
        <v>9</v>
      </c>
      <c r="J6" s="164">
        <v>400</v>
      </c>
    </row>
    <row r="7" spans="2:22" ht="32.1" customHeight="1" x14ac:dyDescent="0.25">
      <c r="B7" s="112" t="s">
        <v>169</v>
      </c>
      <c r="C7" s="63" t="s">
        <v>9</v>
      </c>
      <c r="D7" s="63" t="s">
        <v>9</v>
      </c>
      <c r="E7" s="63" t="s">
        <v>9</v>
      </c>
      <c r="F7" s="63" t="s">
        <v>9</v>
      </c>
      <c r="G7" s="140">
        <v>1200</v>
      </c>
      <c r="H7" s="141">
        <v>5000</v>
      </c>
      <c r="I7" s="141">
        <v>2200</v>
      </c>
      <c r="J7" s="63" t="s">
        <v>9</v>
      </c>
    </row>
    <row r="8" spans="2:22" ht="19.5" customHeight="1" x14ac:dyDescent="0.25">
      <c r="B8" s="20" t="s">
        <v>62</v>
      </c>
      <c r="C8" s="63" t="s">
        <v>9</v>
      </c>
      <c r="D8" s="63" t="s">
        <v>9</v>
      </c>
      <c r="E8" s="63" t="s">
        <v>9</v>
      </c>
      <c r="F8" s="63" t="s">
        <v>9</v>
      </c>
      <c r="G8" s="64">
        <f>G7*1.2</f>
        <v>1440</v>
      </c>
      <c r="H8" s="63" t="s">
        <v>9</v>
      </c>
      <c r="I8" s="63" t="s">
        <v>9</v>
      </c>
      <c r="J8" s="63" t="s">
        <v>9</v>
      </c>
    </row>
    <row r="9" spans="2:22" ht="32.1" customHeight="1" x14ac:dyDescent="0.25">
      <c r="B9" s="112" t="s">
        <v>253</v>
      </c>
      <c r="C9" s="65">
        <v>5.22</v>
      </c>
      <c r="D9" s="65">
        <v>12.31</v>
      </c>
      <c r="E9" s="65">
        <v>5.45</v>
      </c>
      <c r="F9" s="65">
        <f>C9*0.95</f>
        <v>4.9589999999999996</v>
      </c>
      <c r="G9" s="65">
        <v>0.9</v>
      </c>
      <c r="H9" s="65">
        <v>0.22</v>
      </c>
      <c r="I9" s="65">
        <v>1.9</v>
      </c>
      <c r="J9" s="65">
        <v>9</v>
      </c>
    </row>
    <row r="10" spans="2:22" ht="25.35" customHeight="1" x14ac:dyDescent="0.25">
      <c r="B10" s="20" t="s">
        <v>8</v>
      </c>
      <c r="C10" s="69" t="s">
        <v>9</v>
      </c>
      <c r="D10" s="63" t="s">
        <v>9</v>
      </c>
      <c r="E10" s="63" t="s">
        <v>9</v>
      </c>
      <c r="F10" s="63" t="s">
        <v>9</v>
      </c>
      <c r="G10" s="142">
        <v>0.09</v>
      </c>
      <c r="H10" s="63" t="s">
        <v>9</v>
      </c>
      <c r="I10" s="63" t="s">
        <v>9</v>
      </c>
      <c r="J10" s="63" t="s">
        <v>9</v>
      </c>
    </row>
    <row r="11" spans="2:22" ht="24.6" customHeight="1" thickBot="1" x14ac:dyDescent="0.3">
      <c r="B11" s="20" t="s">
        <v>7</v>
      </c>
      <c r="C11" s="65">
        <v>0.85</v>
      </c>
      <c r="D11" s="65">
        <v>0.2</v>
      </c>
      <c r="E11" s="65">
        <v>0.85</v>
      </c>
      <c r="F11" s="65">
        <v>0.85</v>
      </c>
      <c r="G11" s="65">
        <v>-0.02</v>
      </c>
      <c r="H11" s="65">
        <v>0</v>
      </c>
      <c r="I11" s="65">
        <v>0</v>
      </c>
      <c r="J11" s="65">
        <v>0</v>
      </c>
    </row>
    <row r="12" spans="2:22" ht="17.25" thickTop="1" thickBot="1" x14ac:dyDescent="0.3">
      <c r="B12" s="175" t="s">
        <v>228</v>
      </c>
      <c r="C12" s="66">
        <f t="shared" ref="C12:I12" si="0">C9+C11</f>
        <v>6.0699999999999994</v>
      </c>
      <c r="D12" s="66">
        <f t="shared" si="0"/>
        <v>12.51</v>
      </c>
      <c r="E12" s="66">
        <f t="shared" si="0"/>
        <v>6.3</v>
      </c>
      <c r="F12" s="66">
        <f t="shared" si="0"/>
        <v>5.8089999999999993</v>
      </c>
      <c r="G12" s="66">
        <f t="shared" si="0"/>
        <v>0.88</v>
      </c>
      <c r="H12" s="66">
        <f t="shared" si="0"/>
        <v>0.22</v>
      </c>
      <c r="I12" s="66">
        <f t="shared" si="0"/>
        <v>1.9</v>
      </c>
      <c r="J12" s="66">
        <f t="shared" ref="J12" si="1">J9+J11</f>
        <v>9</v>
      </c>
    </row>
    <row r="13" spans="2:22" ht="16.5" thickTop="1" x14ac:dyDescent="0.25">
      <c r="B13" s="67" t="s">
        <v>3</v>
      </c>
      <c r="C13" s="68">
        <f>C6*(C9+C11)</f>
        <v>849.8</v>
      </c>
      <c r="D13" s="68">
        <f>D6*(D9+D11)</f>
        <v>750.6</v>
      </c>
      <c r="E13" s="68">
        <f>E6*(E9+E11)</f>
        <v>441</v>
      </c>
      <c r="F13" s="68">
        <f>F6*(F9+F11)</f>
        <v>377.58499999999998</v>
      </c>
      <c r="G13" s="68">
        <f>G12*G7+(G8*G10)</f>
        <v>1185.5999999999999</v>
      </c>
      <c r="H13" s="68">
        <f>H7*(H9+H11)</f>
        <v>1100</v>
      </c>
      <c r="I13" s="68">
        <f>I7*(I9+I11)</f>
        <v>4180</v>
      </c>
      <c r="J13" s="68">
        <f>J6*(J9+J11)</f>
        <v>3600</v>
      </c>
    </row>
    <row r="14" spans="2:22" ht="15.75" x14ac:dyDescent="0.25">
      <c r="B14" s="181" t="s">
        <v>252</v>
      </c>
      <c r="C14" s="182">
        <f>C6/'State Yields'!B16</f>
        <v>1.1200000000000001</v>
      </c>
      <c r="D14" s="182">
        <f>D6/'State Yields'!C16</f>
        <v>1.6216216216216217</v>
      </c>
      <c r="E14" s="182">
        <f>E6/'State Yields'!D16</f>
        <v>1.2323943661971832</v>
      </c>
      <c r="F14" s="182">
        <f>F6/'State Yields'!I16</f>
        <v>1.1304347826086956</v>
      </c>
      <c r="G14" s="182">
        <f>G7/'State Yields'!E16</f>
        <v>1.3630168105406633</v>
      </c>
      <c r="H14" s="182">
        <f>H7/'State Yields'!F16</f>
        <v>1.2333497779970399</v>
      </c>
      <c r="I14" s="182">
        <f>I7/'State Yields'!G16</f>
        <v>1.1406055578598093</v>
      </c>
      <c r="J14" s="182">
        <f>J6/'State Yields'!H16</f>
        <v>1.075268817204301</v>
      </c>
    </row>
    <row r="15" spans="2:22" ht="21" x14ac:dyDescent="0.25">
      <c r="B15" s="246" t="s">
        <v>256</v>
      </c>
      <c r="C15" s="246"/>
      <c r="D15" s="246"/>
      <c r="E15" s="246"/>
      <c r="F15" s="246"/>
      <c r="G15" s="246"/>
      <c r="H15" s="246"/>
      <c r="I15" s="246"/>
      <c r="J15" s="246"/>
    </row>
    <row r="16" spans="2:22" ht="15" x14ac:dyDescent="0.2">
      <c r="B16" s="13" t="s">
        <v>168</v>
      </c>
      <c r="C16" s="155">
        <v>79.680000000000007</v>
      </c>
      <c r="D16" s="156">
        <v>44</v>
      </c>
      <c r="E16" s="155">
        <v>45</v>
      </c>
      <c r="F16" s="155">
        <v>15</v>
      </c>
      <c r="G16" s="157">
        <v>88.61999999999999</v>
      </c>
      <c r="H16" s="156">
        <v>106.25</v>
      </c>
      <c r="I16" s="156">
        <v>240</v>
      </c>
      <c r="J16" s="156">
        <v>500</v>
      </c>
      <c r="N16" s="13"/>
      <c r="R16" s="13"/>
      <c r="V16" s="13"/>
    </row>
    <row r="17" spans="2:22" ht="15" x14ac:dyDescent="0.2">
      <c r="B17" s="13" t="s">
        <v>178</v>
      </c>
      <c r="C17" s="155">
        <v>0</v>
      </c>
      <c r="D17" s="156">
        <v>0</v>
      </c>
      <c r="E17" s="155">
        <v>0</v>
      </c>
      <c r="F17" s="155">
        <v>0</v>
      </c>
      <c r="G17" s="157">
        <v>0</v>
      </c>
      <c r="H17" s="156">
        <v>0</v>
      </c>
      <c r="I17" s="156">
        <v>179.87</v>
      </c>
      <c r="J17" s="156">
        <v>147.06</v>
      </c>
      <c r="N17" s="13"/>
      <c r="R17" s="13"/>
      <c r="V17" s="13"/>
    </row>
    <row r="18" spans="2:22" ht="15" x14ac:dyDescent="0.2">
      <c r="B18" s="13" t="s">
        <v>173</v>
      </c>
      <c r="C18" s="155">
        <v>0</v>
      </c>
      <c r="D18" s="156">
        <v>0</v>
      </c>
      <c r="E18" s="155">
        <v>0</v>
      </c>
      <c r="F18" s="155">
        <v>0</v>
      </c>
      <c r="G18" s="157">
        <v>0</v>
      </c>
      <c r="H18" s="156">
        <v>6</v>
      </c>
      <c r="I18" s="156">
        <v>0</v>
      </c>
      <c r="J18" s="156">
        <v>0</v>
      </c>
      <c r="N18" s="13"/>
      <c r="R18" s="13"/>
      <c r="V18" s="13"/>
    </row>
    <row r="19" spans="2:22" ht="15" x14ac:dyDescent="0.2">
      <c r="B19" s="13" t="s">
        <v>33</v>
      </c>
      <c r="C19" s="155"/>
      <c r="D19" s="156"/>
      <c r="E19" s="155"/>
      <c r="F19" s="155"/>
      <c r="G19" s="157"/>
      <c r="H19" s="156"/>
      <c r="I19" s="156"/>
      <c r="J19" s="156"/>
      <c r="N19" s="13"/>
      <c r="R19" s="13"/>
      <c r="V19" s="13"/>
    </row>
    <row r="20" spans="2:22" ht="15" x14ac:dyDescent="0.2">
      <c r="B20" s="13" t="s">
        <v>32</v>
      </c>
      <c r="C20" s="155">
        <v>43.4</v>
      </c>
      <c r="D20" s="156">
        <v>0</v>
      </c>
      <c r="E20" s="155">
        <v>32.67</v>
      </c>
      <c r="F20" s="155">
        <v>23.24</v>
      </c>
      <c r="G20" s="157">
        <v>21</v>
      </c>
      <c r="H20" s="156">
        <v>0</v>
      </c>
      <c r="I20" s="156">
        <v>32.5</v>
      </c>
      <c r="J20" s="156">
        <v>0</v>
      </c>
      <c r="N20" s="13"/>
      <c r="R20" s="13"/>
      <c r="V20" s="13"/>
    </row>
    <row r="21" spans="2:22" ht="15" x14ac:dyDescent="0.2">
      <c r="B21" s="13" t="s">
        <v>217</v>
      </c>
      <c r="C21" s="155">
        <v>0</v>
      </c>
      <c r="D21" s="156">
        <v>0</v>
      </c>
      <c r="E21" s="155">
        <v>0</v>
      </c>
      <c r="F21" s="155">
        <v>0</v>
      </c>
      <c r="G21" s="157">
        <v>0</v>
      </c>
      <c r="H21" s="156">
        <v>0</v>
      </c>
      <c r="I21" s="156">
        <v>0</v>
      </c>
      <c r="J21" s="156">
        <v>60.8</v>
      </c>
      <c r="N21" s="13"/>
      <c r="R21" s="13"/>
      <c r="V21" s="13"/>
    </row>
    <row r="22" spans="2:22" ht="15" x14ac:dyDescent="0.2">
      <c r="B22" s="13" t="s">
        <v>67</v>
      </c>
      <c r="C22" s="155">
        <v>33.75</v>
      </c>
      <c r="D22" s="156">
        <v>0</v>
      </c>
      <c r="E22" s="155">
        <v>0</v>
      </c>
      <c r="F22" s="155">
        <v>0</v>
      </c>
      <c r="G22" s="157">
        <v>25</v>
      </c>
      <c r="H22" s="156">
        <v>0</v>
      </c>
      <c r="I22" s="156">
        <v>0</v>
      </c>
      <c r="J22" s="156">
        <v>0</v>
      </c>
      <c r="N22" s="13"/>
      <c r="R22" s="13"/>
      <c r="V22" s="13"/>
    </row>
    <row r="23" spans="2:22" ht="15" x14ac:dyDescent="0.2">
      <c r="B23" s="13" t="s">
        <v>179</v>
      </c>
      <c r="C23" s="155">
        <v>0</v>
      </c>
      <c r="D23" s="156">
        <v>0</v>
      </c>
      <c r="E23" s="155">
        <v>0</v>
      </c>
      <c r="F23" s="155">
        <v>0</v>
      </c>
      <c r="G23" s="157">
        <v>0</v>
      </c>
      <c r="H23" s="156">
        <v>0</v>
      </c>
      <c r="I23" s="156">
        <v>87.12</v>
      </c>
      <c r="J23" s="156">
        <v>0</v>
      </c>
      <c r="N23" s="13"/>
      <c r="R23" s="13"/>
      <c r="V23" s="13"/>
    </row>
    <row r="24" spans="2:22" ht="15" x14ac:dyDescent="0.2">
      <c r="B24" s="13" t="s">
        <v>227</v>
      </c>
      <c r="C24" s="155">
        <v>0</v>
      </c>
      <c r="D24" s="156">
        <v>0</v>
      </c>
      <c r="E24" s="155">
        <v>0</v>
      </c>
      <c r="F24" s="155">
        <v>0</v>
      </c>
      <c r="G24" s="157">
        <v>0</v>
      </c>
      <c r="H24" s="156">
        <v>0</v>
      </c>
      <c r="I24" s="156">
        <v>104.92</v>
      </c>
      <c r="J24" s="156">
        <v>0</v>
      </c>
      <c r="N24" s="13"/>
      <c r="R24" s="13"/>
      <c r="V24" s="13"/>
    </row>
    <row r="25" spans="2:22" ht="15" x14ac:dyDescent="0.2">
      <c r="B25" s="13" t="s">
        <v>31</v>
      </c>
      <c r="C25" s="155">
        <v>0</v>
      </c>
      <c r="D25" s="156">
        <v>18.09</v>
      </c>
      <c r="E25" s="155">
        <v>15.83</v>
      </c>
      <c r="F25" s="155">
        <v>18.309999999999999</v>
      </c>
      <c r="G25" s="157">
        <v>0</v>
      </c>
      <c r="H25" s="156">
        <v>12.48</v>
      </c>
      <c r="I25" s="156">
        <v>0</v>
      </c>
      <c r="J25" s="156">
        <v>14.95</v>
      </c>
      <c r="N25" s="13"/>
      <c r="R25" s="13"/>
      <c r="V25" s="13"/>
    </row>
    <row r="26" spans="2:22" ht="15" x14ac:dyDescent="0.2">
      <c r="B26" s="13" t="s">
        <v>30</v>
      </c>
      <c r="C26" s="155">
        <v>12.6</v>
      </c>
      <c r="D26" s="156">
        <v>20.72</v>
      </c>
      <c r="E26" s="155">
        <v>7.35</v>
      </c>
      <c r="F26" s="155">
        <v>6.3</v>
      </c>
      <c r="G26" s="157">
        <v>10.5</v>
      </c>
      <c r="H26" s="156">
        <v>21</v>
      </c>
      <c r="I26" s="156">
        <v>0</v>
      </c>
      <c r="J26" s="156">
        <v>33.6</v>
      </c>
      <c r="N26" s="13"/>
      <c r="R26" s="13"/>
      <c r="V26" s="13"/>
    </row>
    <row r="27" spans="2:22" ht="15" x14ac:dyDescent="0.2">
      <c r="B27" s="13" t="s">
        <v>36</v>
      </c>
      <c r="C27" s="155">
        <v>0</v>
      </c>
      <c r="D27" s="156">
        <v>0</v>
      </c>
      <c r="E27" s="155">
        <v>0</v>
      </c>
      <c r="F27" s="155">
        <v>0</v>
      </c>
      <c r="G27" s="157">
        <v>4.0500000000000007</v>
      </c>
      <c r="H27" s="156">
        <v>3.38</v>
      </c>
      <c r="I27" s="156">
        <v>0</v>
      </c>
      <c r="J27" s="156">
        <v>0</v>
      </c>
      <c r="N27" s="13"/>
      <c r="R27" s="13"/>
      <c r="V27" s="13"/>
    </row>
    <row r="28" spans="2:22" ht="15" x14ac:dyDescent="0.2">
      <c r="B28" s="13" t="s">
        <v>174</v>
      </c>
      <c r="C28" s="155">
        <v>0</v>
      </c>
      <c r="D28" s="156">
        <v>0</v>
      </c>
      <c r="E28" s="155">
        <v>0</v>
      </c>
      <c r="F28" s="155">
        <v>0</v>
      </c>
      <c r="G28" s="157">
        <v>0</v>
      </c>
      <c r="H28" s="156">
        <v>1.05</v>
      </c>
      <c r="I28" s="156">
        <v>0</v>
      </c>
      <c r="J28" s="156">
        <v>0</v>
      </c>
      <c r="N28" s="13"/>
      <c r="R28" s="13"/>
      <c r="V28" s="13"/>
    </row>
    <row r="29" spans="2:22" ht="15" x14ac:dyDescent="0.2">
      <c r="B29" s="13" t="s">
        <v>37</v>
      </c>
      <c r="C29" s="155">
        <v>0</v>
      </c>
      <c r="D29" s="156">
        <v>0</v>
      </c>
      <c r="E29" s="155">
        <v>0</v>
      </c>
      <c r="F29" s="155">
        <v>0</v>
      </c>
      <c r="G29" s="157">
        <v>2.8000000000000003</v>
      </c>
      <c r="H29" s="156">
        <v>0</v>
      </c>
      <c r="I29" s="156">
        <v>0</v>
      </c>
      <c r="J29" s="156">
        <v>0</v>
      </c>
      <c r="N29" s="13"/>
      <c r="R29" s="13"/>
      <c r="V29" s="13"/>
    </row>
    <row r="30" spans="2:22" ht="15" x14ac:dyDescent="0.2">
      <c r="B30" s="13" t="s">
        <v>170</v>
      </c>
      <c r="C30" s="155">
        <v>17.989999999999998</v>
      </c>
      <c r="D30" s="155">
        <v>17.989999999999998</v>
      </c>
      <c r="E30" s="155">
        <v>17.989999999999998</v>
      </c>
      <c r="F30" s="155">
        <v>17.989999999999998</v>
      </c>
      <c r="G30" s="157">
        <v>17.989999999999998</v>
      </c>
      <c r="H30" s="155">
        <v>17.989999999999998</v>
      </c>
      <c r="I30" s="155">
        <v>17.989999999999998</v>
      </c>
      <c r="J30" s="155">
        <v>17.989999999999998</v>
      </c>
      <c r="N30" s="13"/>
      <c r="R30" s="13"/>
      <c r="V30" s="13"/>
    </row>
    <row r="31" spans="2:22" ht="15" x14ac:dyDescent="0.2">
      <c r="B31" s="13" t="s">
        <v>171</v>
      </c>
      <c r="C31" s="155">
        <v>0</v>
      </c>
      <c r="D31" s="155">
        <v>0</v>
      </c>
      <c r="E31" s="155">
        <v>0</v>
      </c>
      <c r="F31" s="155">
        <v>0</v>
      </c>
      <c r="G31" s="155">
        <v>0</v>
      </c>
      <c r="H31" s="155">
        <v>28.5</v>
      </c>
      <c r="I31" s="155">
        <v>0</v>
      </c>
      <c r="J31" s="155">
        <v>0</v>
      </c>
      <c r="N31" s="13"/>
      <c r="R31" s="13"/>
      <c r="V31" s="13"/>
    </row>
    <row r="32" spans="2:22" ht="15" x14ac:dyDescent="0.2">
      <c r="B32" s="13" t="s">
        <v>29</v>
      </c>
      <c r="C32" s="155">
        <v>32.72</v>
      </c>
      <c r="D32" s="156">
        <v>31.59</v>
      </c>
      <c r="E32" s="155">
        <v>11.41</v>
      </c>
      <c r="F32" s="155">
        <v>19.43</v>
      </c>
      <c r="G32" s="157">
        <v>63.07</v>
      </c>
      <c r="H32" s="156">
        <v>51.04</v>
      </c>
      <c r="I32" s="156">
        <v>54.41</v>
      </c>
      <c r="J32" s="156">
        <v>51</v>
      </c>
      <c r="N32" s="13"/>
      <c r="R32" s="13"/>
      <c r="V32" s="13"/>
    </row>
    <row r="33" spans="2:22" ht="15" x14ac:dyDescent="0.2">
      <c r="B33" s="13" t="s">
        <v>34</v>
      </c>
      <c r="C33" s="155">
        <v>0</v>
      </c>
      <c r="D33" s="156">
        <v>0</v>
      </c>
      <c r="E33" s="155">
        <v>7.06</v>
      </c>
      <c r="F33" s="155">
        <v>0</v>
      </c>
      <c r="G33" s="157">
        <v>0</v>
      </c>
      <c r="H33" s="156">
        <v>77.209999999999994</v>
      </c>
      <c r="I33" s="156">
        <v>104.77</v>
      </c>
      <c r="J33" s="156">
        <v>0</v>
      </c>
      <c r="N33" s="13"/>
      <c r="R33" s="13"/>
      <c r="V33" s="13"/>
    </row>
    <row r="34" spans="2:22" ht="15" x14ac:dyDescent="0.2">
      <c r="B34" s="13" t="s">
        <v>218</v>
      </c>
      <c r="C34" s="155">
        <v>0</v>
      </c>
      <c r="D34" s="156">
        <v>0</v>
      </c>
      <c r="E34" s="155">
        <v>0</v>
      </c>
      <c r="F34" s="155">
        <v>0</v>
      </c>
      <c r="G34" s="157"/>
      <c r="H34" s="156">
        <v>0</v>
      </c>
      <c r="I34" s="156">
        <v>0</v>
      </c>
      <c r="J34" s="156">
        <v>54.14</v>
      </c>
      <c r="N34" s="13"/>
      <c r="R34" s="13"/>
      <c r="V34" s="13"/>
    </row>
    <row r="35" spans="2:22" ht="15" x14ac:dyDescent="0.2">
      <c r="B35" s="13" t="s">
        <v>28</v>
      </c>
      <c r="C35" s="155">
        <v>0</v>
      </c>
      <c r="D35" s="156">
        <v>0</v>
      </c>
      <c r="E35" s="155">
        <v>3.73</v>
      </c>
      <c r="F35" s="155">
        <v>5.17</v>
      </c>
      <c r="G35" s="157">
        <v>36.54</v>
      </c>
      <c r="H35" s="156">
        <v>16.39</v>
      </c>
      <c r="I35" s="156">
        <v>73.02</v>
      </c>
      <c r="J35" s="156">
        <v>43.88</v>
      </c>
      <c r="N35" s="13"/>
      <c r="R35" s="13"/>
      <c r="V35" s="13"/>
    </row>
    <row r="36" spans="2:22" ht="15" x14ac:dyDescent="0.2">
      <c r="B36" s="13" t="s">
        <v>180</v>
      </c>
      <c r="C36" s="155">
        <v>0</v>
      </c>
      <c r="D36" s="156">
        <v>0</v>
      </c>
      <c r="E36" s="155">
        <v>0</v>
      </c>
      <c r="F36" s="155">
        <v>0</v>
      </c>
      <c r="G36" s="157">
        <v>0</v>
      </c>
      <c r="H36" s="156">
        <v>0</v>
      </c>
      <c r="I36" s="156">
        <v>187.53</v>
      </c>
      <c r="J36" s="156">
        <v>0</v>
      </c>
      <c r="N36" s="13"/>
      <c r="R36" s="13"/>
      <c r="V36" s="13"/>
    </row>
    <row r="37" spans="2:22" ht="15" x14ac:dyDescent="0.2">
      <c r="B37" s="13" t="s">
        <v>38</v>
      </c>
      <c r="C37" s="155">
        <v>0</v>
      </c>
      <c r="D37" s="156">
        <v>0</v>
      </c>
      <c r="E37" s="155">
        <v>0</v>
      </c>
      <c r="F37" s="155">
        <v>0</v>
      </c>
      <c r="G37" s="157">
        <v>21.299999999999997</v>
      </c>
      <c r="H37" s="156">
        <v>48.94</v>
      </c>
      <c r="I37" s="156">
        <v>0</v>
      </c>
      <c r="J37" s="156">
        <v>0</v>
      </c>
      <c r="N37" s="13"/>
      <c r="R37" s="13"/>
      <c r="V37" s="13"/>
    </row>
    <row r="38" spans="2:22" ht="15" x14ac:dyDescent="0.2">
      <c r="B38" s="13" t="s">
        <v>35</v>
      </c>
      <c r="C38" s="155">
        <v>3.27</v>
      </c>
      <c r="D38" s="156">
        <v>1.58</v>
      </c>
      <c r="E38" s="155">
        <v>0</v>
      </c>
      <c r="F38" s="155">
        <v>0</v>
      </c>
      <c r="G38" s="157">
        <v>6.06</v>
      </c>
      <c r="H38" s="156">
        <v>9.68</v>
      </c>
      <c r="I38" s="156">
        <v>20.99</v>
      </c>
      <c r="J38" s="156">
        <v>0</v>
      </c>
      <c r="N38" s="13"/>
      <c r="R38" s="13"/>
      <c r="V38" s="13"/>
    </row>
    <row r="39" spans="2:22" ht="15" x14ac:dyDescent="0.2">
      <c r="B39" s="13" t="s">
        <v>177</v>
      </c>
      <c r="C39" s="155">
        <v>0</v>
      </c>
      <c r="D39" s="156">
        <v>0</v>
      </c>
      <c r="E39" s="155">
        <v>9</v>
      </c>
      <c r="F39" s="155">
        <v>0</v>
      </c>
      <c r="G39" s="157">
        <v>0</v>
      </c>
      <c r="H39" s="156">
        <v>0</v>
      </c>
      <c r="I39" s="156">
        <v>0</v>
      </c>
      <c r="J39" s="156">
        <v>0</v>
      </c>
      <c r="N39" s="13"/>
      <c r="R39" s="13"/>
      <c r="V39" s="13"/>
    </row>
    <row r="40" spans="2:22" ht="15" x14ac:dyDescent="0.2">
      <c r="B40" s="13" t="s">
        <v>172</v>
      </c>
      <c r="C40" s="155">
        <v>42</v>
      </c>
      <c r="D40" s="156">
        <v>0</v>
      </c>
      <c r="E40" s="155">
        <v>0</v>
      </c>
      <c r="F40" s="155">
        <v>18</v>
      </c>
      <c r="G40" s="157">
        <v>0</v>
      </c>
      <c r="H40" s="156">
        <v>89.82</v>
      </c>
      <c r="I40" s="156">
        <v>0</v>
      </c>
      <c r="J40" s="156">
        <v>0</v>
      </c>
      <c r="N40" s="13"/>
      <c r="R40" s="13"/>
      <c r="V40" s="13"/>
    </row>
    <row r="41" spans="2:22" ht="15" x14ac:dyDescent="0.2">
      <c r="B41" s="13" t="s">
        <v>27</v>
      </c>
      <c r="C41" s="155">
        <v>70</v>
      </c>
      <c r="D41" s="156">
        <v>10.4</v>
      </c>
      <c r="E41" s="155">
        <v>14</v>
      </c>
      <c r="F41" s="155">
        <v>15.6</v>
      </c>
      <c r="G41" s="157">
        <v>0</v>
      </c>
      <c r="H41" s="156">
        <v>23.95</v>
      </c>
      <c r="I41" s="156">
        <v>125</v>
      </c>
      <c r="J41" s="156">
        <v>0</v>
      </c>
      <c r="N41" s="13"/>
      <c r="R41" s="13"/>
      <c r="V41" s="13"/>
    </row>
    <row r="42" spans="2:22" ht="15" x14ac:dyDescent="0.2">
      <c r="B42" s="13" t="s">
        <v>181</v>
      </c>
      <c r="C42" s="155">
        <v>0</v>
      </c>
      <c r="D42" s="156">
        <v>0</v>
      </c>
      <c r="E42" s="155">
        <v>0</v>
      </c>
      <c r="F42" s="155">
        <v>0</v>
      </c>
      <c r="G42" s="157">
        <v>0</v>
      </c>
      <c r="H42" s="156">
        <v>0</v>
      </c>
      <c r="I42" s="156">
        <v>126.4</v>
      </c>
      <c r="J42" s="156">
        <v>0</v>
      </c>
      <c r="K42" s="161"/>
      <c r="N42" s="13"/>
      <c r="R42" s="13"/>
      <c r="V42" s="13"/>
    </row>
    <row r="43" spans="2:22" ht="15" x14ac:dyDescent="0.2">
      <c r="B43" s="13" t="s">
        <v>182</v>
      </c>
      <c r="C43" s="155">
        <v>0</v>
      </c>
      <c r="D43" s="156">
        <v>0</v>
      </c>
      <c r="E43" s="155">
        <v>0</v>
      </c>
      <c r="F43" s="155">
        <v>0</v>
      </c>
      <c r="G43" s="157">
        <v>0</v>
      </c>
      <c r="H43" s="156">
        <v>0</v>
      </c>
      <c r="I43" s="156">
        <v>357.5</v>
      </c>
      <c r="J43" s="156">
        <v>0</v>
      </c>
      <c r="N43" s="13"/>
      <c r="R43" s="13"/>
      <c r="V43" s="13"/>
    </row>
    <row r="44" spans="2:22" ht="15" x14ac:dyDescent="0.2">
      <c r="B44" s="13" t="s">
        <v>184</v>
      </c>
      <c r="C44" s="155">
        <v>0</v>
      </c>
      <c r="D44" s="156">
        <v>0</v>
      </c>
      <c r="E44" s="155">
        <v>0</v>
      </c>
      <c r="F44" s="155">
        <v>0</v>
      </c>
      <c r="G44" s="157">
        <v>0</v>
      </c>
      <c r="H44" s="156">
        <v>0</v>
      </c>
      <c r="I44" s="156">
        <v>25</v>
      </c>
      <c r="J44" s="156">
        <v>50</v>
      </c>
      <c r="N44" s="13"/>
      <c r="R44" s="13"/>
      <c r="V44" s="13"/>
    </row>
    <row r="45" spans="2:22" ht="15" x14ac:dyDescent="0.2">
      <c r="B45" s="13" t="s">
        <v>183</v>
      </c>
      <c r="C45" s="155">
        <v>0</v>
      </c>
      <c r="D45" s="156">
        <v>0</v>
      </c>
      <c r="E45" s="155">
        <v>0</v>
      </c>
      <c r="F45" s="155">
        <v>0</v>
      </c>
      <c r="G45" s="157">
        <v>0</v>
      </c>
      <c r="H45" s="156">
        <v>0</v>
      </c>
      <c r="I45" s="156">
        <v>7.5</v>
      </c>
      <c r="J45" s="156">
        <v>0</v>
      </c>
      <c r="N45" s="13"/>
      <c r="R45" s="13"/>
      <c r="V45" s="13"/>
    </row>
    <row r="46" spans="2:22" ht="15" x14ac:dyDescent="0.2">
      <c r="B46" s="13" t="s">
        <v>176</v>
      </c>
      <c r="C46" s="155">
        <v>0</v>
      </c>
      <c r="D46" s="156">
        <v>0</v>
      </c>
      <c r="E46" s="155">
        <v>0</v>
      </c>
      <c r="F46" s="155">
        <v>0</v>
      </c>
      <c r="G46" s="157">
        <v>0</v>
      </c>
      <c r="H46" s="156">
        <v>6</v>
      </c>
      <c r="I46" s="156">
        <v>0</v>
      </c>
      <c r="J46" s="156">
        <v>0</v>
      </c>
      <c r="N46" s="13"/>
      <c r="R46" s="13"/>
      <c r="V46" s="13"/>
    </row>
    <row r="47" spans="2:22" ht="15" x14ac:dyDescent="0.2">
      <c r="B47" s="13" t="s">
        <v>175</v>
      </c>
      <c r="C47" s="155">
        <v>0</v>
      </c>
      <c r="D47" s="156">
        <v>0</v>
      </c>
      <c r="E47" s="155">
        <v>0</v>
      </c>
      <c r="F47" s="155">
        <v>0</v>
      </c>
      <c r="G47" s="157">
        <v>0</v>
      </c>
      <c r="H47" s="156">
        <v>8.1300000000000008</v>
      </c>
      <c r="I47" s="156">
        <v>0</v>
      </c>
      <c r="J47" s="156">
        <v>0</v>
      </c>
      <c r="N47" s="13"/>
      <c r="R47" s="13"/>
      <c r="V47" s="13"/>
    </row>
    <row r="48" spans="2:22" ht="15" x14ac:dyDescent="0.2">
      <c r="B48" s="13" t="s">
        <v>26</v>
      </c>
      <c r="C48" s="155">
        <v>21.44</v>
      </c>
      <c r="D48" s="156">
        <v>25.41</v>
      </c>
      <c r="E48" s="155">
        <v>23.13</v>
      </c>
      <c r="F48" s="155">
        <v>26.08</v>
      </c>
      <c r="G48" s="157">
        <v>49.98</v>
      </c>
      <c r="H48" s="156">
        <v>61.96</v>
      </c>
      <c r="I48" s="156">
        <v>219.31</v>
      </c>
      <c r="J48" s="156">
        <v>88.53</v>
      </c>
      <c r="N48" s="13"/>
      <c r="R48" s="13"/>
      <c r="V48" s="13"/>
    </row>
    <row r="49" spans="2:22" ht="15" x14ac:dyDescent="0.2">
      <c r="B49" s="13" t="s">
        <v>25</v>
      </c>
      <c r="C49" s="155">
        <v>23.06</v>
      </c>
      <c r="D49" s="156">
        <v>23.06</v>
      </c>
      <c r="E49" s="155">
        <v>20.53</v>
      </c>
      <c r="F49" s="155">
        <v>21.92</v>
      </c>
      <c r="G49" s="157">
        <v>35.35</v>
      </c>
      <c r="H49" s="156">
        <v>58.16</v>
      </c>
      <c r="I49" s="156">
        <v>886.9</v>
      </c>
      <c r="J49" s="156">
        <v>242.38</v>
      </c>
      <c r="N49" s="13"/>
      <c r="R49" s="13"/>
      <c r="V49" s="13"/>
    </row>
    <row r="50" spans="2:22" ht="15" x14ac:dyDescent="0.2">
      <c r="B50" s="13" t="s">
        <v>220</v>
      </c>
      <c r="C50" s="155">
        <v>0</v>
      </c>
      <c r="D50" s="156">
        <v>0</v>
      </c>
      <c r="E50" s="155">
        <v>0</v>
      </c>
      <c r="F50" s="155">
        <v>0</v>
      </c>
      <c r="G50" s="157">
        <v>0</v>
      </c>
      <c r="H50" s="156">
        <v>0</v>
      </c>
      <c r="I50" s="156">
        <v>0</v>
      </c>
      <c r="J50" s="156">
        <f>1.5*J6</f>
        <v>600</v>
      </c>
      <c r="N50" s="13"/>
      <c r="R50" s="13"/>
      <c r="V50" s="13"/>
    </row>
    <row r="51" spans="2:22" ht="15" x14ac:dyDescent="0.2">
      <c r="B51" s="13" t="s">
        <v>225</v>
      </c>
      <c r="C51" s="155">
        <v>0</v>
      </c>
      <c r="D51" s="156">
        <v>0</v>
      </c>
      <c r="E51" s="155">
        <v>0</v>
      </c>
      <c r="F51" s="155">
        <v>0</v>
      </c>
      <c r="G51" s="157">
        <v>0</v>
      </c>
      <c r="H51" s="156">
        <v>0</v>
      </c>
      <c r="I51" s="156">
        <v>0</v>
      </c>
      <c r="J51" s="156">
        <f>1*J6</f>
        <v>400</v>
      </c>
      <c r="N51" s="13"/>
      <c r="R51" s="13"/>
      <c r="V51" s="13"/>
    </row>
    <row r="52" spans="2:22" ht="15" x14ac:dyDescent="0.2">
      <c r="B52" s="13" t="s">
        <v>24</v>
      </c>
      <c r="C52" s="155">
        <v>12</v>
      </c>
      <c r="D52" s="156">
        <v>12</v>
      </c>
      <c r="E52" s="155">
        <v>0</v>
      </c>
      <c r="F52" s="155">
        <v>0</v>
      </c>
      <c r="G52" s="157">
        <v>16</v>
      </c>
      <c r="H52" s="156">
        <v>16</v>
      </c>
      <c r="I52" s="156">
        <v>20</v>
      </c>
      <c r="J52" s="156">
        <v>20</v>
      </c>
      <c r="N52" s="13"/>
      <c r="R52" s="13"/>
      <c r="V52" s="13"/>
    </row>
    <row r="53" spans="2:22" ht="15" x14ac:dyDescent="0.2">
      <c r="B53" s="13" t="s">
        <v>23</v>
      </c>
      <c r="C53" s="158">
        <f>$C$3</f>
        <v>100</v>
      </c>
      <c r="D53" s="158">
        <f t="shared" ref="D53:J53" si="2">$C$3</f>
        <v>100</v>
      </c>
      <c r="E53" s="158">
        <f t="shared" si="2"/>
        <v>100</v>
      </c>
      <c r="F53" s="158">
        <f t="shared" si="2"/>
        <v>100</v>
      </c>
      <c r="G53" s="158">
        <f t="shared" si="2"/>
        <v>100</v>
      </c>
      <c r="H53" s="158">
        <f t="shared" si="2"/>
        <v>100</v>
      </c>
      <c r="I53" s="158">
        <f t="shared" si="2"/>
        <v>100</v>
      </c>
      <c r="J53" s="158">
        <f t="shared" si="2"/>
        <v>100</v>
      </c>
      <c r="N53" s="13"/>
      <c r="R53" s="13"/>
      <c r="V53" s="13"/>
    </row>
    <row r="54" spans="2:22" ht="15" hidden="1" x14ac:dyDescent="0.2">
      <c r="B54" s="13" t="s">
        <v>39</v>
      </c>
      <c r="C54" s="155">
        <v>0</v>
      </c>
      <c r="D54" s="156">
        <v>0</v>
      </c>
      <c r="E54" s="155">
        <v>0</v>
      </c>
      <c r="F54" s="155">
        <v>0</v>
      </c>
      <c r="G54" s="157">
        <v>93.52</v>
      </c>
      <c r="H54" s="156">
        <v>0</v>
      </c>
      <c r="I54" s="156">
        <v>0</v>
      </c>
      <c r="J54" s="156">
        <v>0</v>
      </c>
      <c r="N54" s="13"/>
      <c r="R54" s="13"/>
      <c r="V54" s="13"/>
    </row>
    <row r="55" spans="2:22" ht="15" x14ac:dyDescent="0.2">
      <c r="B55" s="13" t="s">
        <v>201</v>
      </c>
      <c r="C55" s="155">
        <v>0</v>
      </c>
      <c r="D55" s="156">
        <v>0</v>
      </c>
      <c r="E55" s="155">
        <v>0</v>
      </c>
      <c r="F55" s="155">
        <v>0</v>
      </c>
      <c r="G55" s="158">
        <f>G7*C82</f>
        <v>144</v>
      </c>
      <c r="H55" s="156">
        <v>0</v>
      </c>
      <c r="I55" s="156">
        <v>0</v>
      </c>
      <c r="J55" s="156">
        <v>0</v>
      </c>
      <c r="N55" s="13"/>
      <c r="R55" s="13"/>
      <c r="V55" s="13"/>
    </row>
    <row r="56" spans="2:22" ht="15" x14ac:dyDescent="0.2">
      <c r="B56" s="13" t="s">
        <v>202</v>
      </c>
      <c r="C56" s="155">
        <v>15</v>
      </c>
      <c r="D56" s="156">
        <v>15</v>
      </c>
      <c r="E56" s="155">
        <v>10</v>
      </c>
      <c r="F56" s="155">
        <v>9</v>
      </c>
      <c r="G56" s="157">
        <v>30</v>
      </c>
      <c r="H56" s="156">
        <v>30</v>
      </c>
      <c r="I56" s="156">
        <v>120</v>
      </c>
      <c r="J56" s="156">
        <v>130</v>
      </c>
      <c r="N56" s="13"/>
      <c r="R56" s="13"/>
      <c r="V56" s="13"/>
    </row>
    <row r="57" spans="2:22" ht="15" x14ac:dyDescent="0.2">
      <c r="B57" s="12" t="s">
        <v>22</v>
      </c>
      <c r="C57" s="155">
        <v>3.64</v>
      </c>
      <c r="D57" s="156">
        <v>2.17</v>
      </c>
      <c r="E57" s="155">
        <v>2.36</v>
      </c>
      <c r="F57" s="155">
        <v>3.14</v>
      </c>
      <c r="G57" s="157">
        <v>5.2</v>
      </c>
      <c r="H57" s="156">
        <v>6.94</v>
      </c>
      <c r="I57" s="156">
        <v>29.88</v>
      </c>
      <c r="J57" s="156">
        <v>35.01</v>
      </c>
      <c r="N57" s="12"/>
      <c r="R57" s="12"/>
      <c r="V57" s="12"/>
    </row>
    <row r="58" spans="2:22" ht="16.5" thickBot="1" x14ac:dyDescent="0.3">
      <c r="B58" s="18"/>
      <c r="C58" s="159"/>
      <c r="D58" s="160"/>
      <c r="E58" s="160"/>
      <c r="F58" s="160"/>
      <c r="G58" s="160"/>
      <c r="H58" s="160"/>
      <c r="I58" s="160"/>
      <c r="J58" s="12"/>
      <c r="N58" s="12"/>
      <c r="R58" s="12"/>
      <c r="V58" s="12"/>
    </row>
    <row r="59" spans="2:22" ht="15.75" thickTop="1" x14ac:dyDescent="0.25">
      <c r="B59" s="36" t="s">
        <v>4</v>
      </c>
      <c r="C59" s="37">
        <f>SUM(C16:C58)</f>
        <v>510.55</v>
      </c>
      <c r="D59" s="37">
        <f>SUM(D16:D58)</f>
        <v>322.01000000000005</v>
      </c>
      <c r="E59" s="37">
        <f>SUM(E16:E58)</f>
        <v>320.06</v>
      </c>
      <c r="F59" s="37">
        <f>SUM(F42:F47,F57,F56,F55,F53,F52,F49,F48,F41,F40,F39,F38,F37,F35,F33,F32,F30,F29,F27,F26,F25,F22,F20,F16)</f>
        <v>299.18</v>
      </c>
      <c r="G59" s="37">
        <f>SUM(G57,G56,G55,G53,G52,G49,G48,G41,G40,G39,G38,G37,G35,G33,G32,G30,G29,G27,G26,G25,G22,G20,G16,G42:G47)</f>
        <v>677.45999999999992</v>
      </c>
      <c r="H59" s="37">
        <f>SUM(H16:H58)</f>
        <v>800.87000000000012</v>
      </c>
      <c r="I59" s="37">
        <f>SUM(I16:I58)</f>
        <v>3120.61</v>
      </c>
      <c r="J59" s="37">
        <f>SUM(J16:J58)</f>
        <v>2589.34</v>
      </c>
    </row>
    <row r="60" spans="2:22" ht="15.75" thickBot="1" x14ac:dyDescent="0.3">
      <c r="B60" s="23" t="s">
        <v>11</v>
      </c>
      <c r="C60" s="24">
        <f t="shared" ref="C60:J60" si="3">C13-C59</f>
        <v>339.24999999999994</v>
      </c>
      <c r="D60" s="24">
        <f t="shared" si="3"/>
        <v>428.59</v>
      </c>
      <c r="E60" s="24">
        <f t="shared" si="3"/>
        <v>120.94</v>
      </c>
      <c r="F60" s="24">
        <f t="shared" si="3"/>
        <v>78.404999999999973</v>
      </c>
      <c r="G60" s="24">
        <f t="shared" si="3"/>
        <v>508.14</v>
      </c>
      <c r="H60" s="24">
        <f t="shared" si="3"/>
        <v>299.12999999999988</v>
      </c>
      <c r="I60" s="24">
        <f t="shared" si="3"/>
        <v>1059.3899999999999</v>
      </c>
      <c r="J60" s="24">
        <f t="shared" si="3"/>
        <v>1010.6599999999999</v>
      </c>
    </row>
    <row r="61" spans="2:22" ht="18.75" thickTop="1" x14ac:dyDescent="0.25">
      <c r="B61" s="247" t="s">
        <v>258</v>
      </c>
      <c r="C61" s="247"/>
      <c r="D61" s="247"/>
      <c r="E61" s="247"/>
      <c r="F61" s="247"/>
      <c r="G61" s="247"/>
      <c r="H61" s="247"/>
      <c r="I61" s="247"/>
      <c r="J61" s="247"/>
    </row>
    <row r="62" spans="2:22" ht="15" x14ac:dyDescent="0.2">
      <c r="B62" s="12" t="s">
        <v>55</v>
      </c>
      <c r="C62" s="38">
        <v>49.75</v>
      </c>
      <c r="D62" s="38">
        <v>54.67</v>
      </c>
      <c r="E62" s="38">
        <v>42.11</v>
      </c>
      <c r="F62" s="38">
        <v>61.85</v>
      </c>
      <c r="G62" s="38">
        <v>117.75</v>
      </c>
      <c r="H62" s="38">
        <v>123.33</v>
      </c>
      <c r="I62" s="38">
        <v>405.12</v>
      </c>
      <c r="J62" s="38">
        <v>88.53</v>
      </c>
    </row>
    <row r="63" spans="2:22" ht="15" x14ac:dyDescent="0.2">
      <c r="B63" s="12" t="s">
        <v>212</v>
      </c>
      <c r="C63" s="38"/>
      <c r="D63" s="38"/>
      <c r="E63" s="38"/>
      <c r="F63" s="144" t="s">
        <v>185</v>
      </c>
      <c r="G63" s="144" t="s">
        <v>185</v>
      </c>
      <c r="H63" s="144" t="s">
        <v>185</v>
      </c>
      <c r="I63" s="38">
        <v>309.58</v>
      </c>
      <c r="J63" s="144" t="s">
        <v>185</v>
      </c>
    </row>
    <row r="64" spans="2:22" ht="16.149999999999999" customHeight="1" thickBot="1" x14ac:dyDescent="0.25">
      <c r="B64" s="248" t="s">
        <v>221</v>
      </c>
      <c r="C64" s="248"/>
      <c r="D64" s="248"/>
      <c r="E64" s="248"/>
      <c r="F64" s="248"/>
      <c r="G64" s="248"/>
      <c r="H64" s="248"/>
      <c r="I64" s="248"/>
      <c r="J64" s="248"/>
      <c r="M64" s="12"/>
      <c r="N64" s="38"/>
      <c r="O64" s="38"/>
      <c r="P64" s="38"/>
      <c r="Q64" s="38"/>
      <c r="R64" s="38"/>
      <c r="S64" s="38"/>
      <c r="T64" s="38"/>
    </row>
    <row r="65" spans="2:10" ht="15.75" thickTop="1" x14ac:dyDescent="0.25">
      <c r="B65" s="36" t="s">
        <v>41</v>
      </c>
      <c r="C65" s="37">
        <f t="shared" ref="C65:I65" si="4">SUM(C62:C64)</f>
        <v>49.75</v>
      </c>
      <c r="D65" s="37">
        <f t="shared" si="4"/>
        <v>54.67</v>
      </c>
      <c r="E65" s="37">
        <f>SUM(E62:E64)</f>
        <v>42.11</v>
      </c>
      <c r="F65" s="37">
        <f t="shared" si="4"/>
        <v>61.85</v>
      </c>
      <c r="G65" s="37">
        <f t="shared" si="4"/>
        <v>117.75</v>
      </c>
      <c r="H65" s="37">
        <f t="shared" si="4"/>
        <v>123.33</v>
      </c>
      <c r="I65" s="37">
        <f t="shared" si="4"/>
        <v>714.7</v>
      </c>
      <c r="J65" s="37">
        <f t="shared" ref="J65" si="5">SUM(J62:J64)</f>
        <v>88.53</v>
      </c>
    </row>
    <row r="66" spans="2:10" ht="15.75" thickBot="1" x14ac:dyDescent="0.3">
      <c r="B66" s="25" t="s">
        <v>40</v>
      </c>
      <c r="C66" s="26">
        <f t="shared" ref="C66:I66" si="6">C65+C59</f>
        <v>560.29999999999995</v>
      </c>
      <c r="D66" s="26">
        <f t="shared" si="6"/>
        <v>376.68000000000006</v>
      </c>
      <c r="E66" s="26">
        <f>E65+E59</f>
        <v>362.17</v>
      </c>
      <c r="F66" s="26">
        <f t="shared" si="6"/>
        <v>361.03000000000003</v>
      </c>
      <c r="G66" s="26">
        <f t="shared" si="6"/>
        <v>795.20999999999992</v>
      </c>
      <c r="H66" s="26">
        <f>H65+H59</f>
        <v>924.20000000000016</v>
      </c>
      <c r="I66" s="26">
        <f t="shared" si="6"/>
        <v>3835.3100000000004</v>
      </c>
      <c r="J66" s="26">
        <f t="shared" ref="J66" si="7">J65+J59</f>
        <v>2677.8700000000003</v>
      </c>
    </row>
    <row r="67" spans="2:10" ht="17.25" thickTop="1" thickBot="1" x14ac:dyDescent="0.3">
      <c r="B67" s="174" t="s">
        <v>42</v>
      </c>
      <c r="C67" s="35">
        <f t="shared" ref="C67:J67" si="8">C13-C66</f>
        <v>289.5</v>
      </c>
      <c r="D67" s="35">
        <f t="shared" si="8"/>
        <v>373.91999999999996</v>
      </c>
      <c r="E67" s="35">
        <f t="shared" si="8"/>
        <v>78.829999999999984</v>
      </c>
      <c r="F67" s="35">
        <f t="shared" si="8"/>
        <v>16.55499999999995</v>
      </c>
      <c r="G67" s="35">
        <f t="shared" si="8"/>
        <v>390.39</v>
      </c>
      <c r="H67" s="35">
        <f t="shared" si="8"/>
        <v>175.79999999999984</v>
      </c>
      <c r="I67" s="35">
        <f t="shared" si="8"/>
        <v>344.6899999999996</v>
      </c>
      <c r="J67" s="35">
        <f t="shared" si="8"/>
        <v>922.12999999999965</v>
      </c>
    </row>
    <row r="68" spans="2:10" ht="15.75" thickTop="1" x14ac:dyDescent="0.25">
      <c r="B68" s="27"/>
      <c r="D68" s="28"/>
      <c r="E68" s="28"/>
      <c r="F68" s="28"/>
      <c r="G68" s="28"/>
      <c r="H68" s="28"/>
      <c r="I68" s="28"/>
    </row>
    <row r="69" spans="2:10" ht="15" x14ac:dyDescent="0.25">
      <c r="B69" s="29" t="s">
        <v>5</v>
      </c>
      <c r="C69" s="30">
        <f>C66/C12</f>
        <v>92.306425041186159</v>
      </c>
      <c r="D69" s="30">
        <f>D66/D12</f>
        <v>30.110311750599525</v>
      </c>
      <c r="E69" s="30">
        <f>E66/E12</f>
        <v>57.487301587301594</v>
      </c>
      <c r="F69" s="30">
        <f>F66/F12</f>
        <v>62.150111895334838</v>
      </c>
      <c r="G69" s="30">
        <f>(G66-((G10*G8)-G55))/G12</f>
        <v>920.01136363636351</v>
      </c>
      <c r="H69" s="30">
        <f>H66/H12</f>
        <v>4200.9090909090919</v>
      </c>
      <c r="I69" s="30">
        <f>I66/I12</f>
        <v>2018.5842105263162</v>
      </c>
      <c r="J69" s="30">
        <f>J66/J12</f>
        <v>297.54111111111115</v>
      </c>
    </row>
    <row r="70" spans="2:10" ht="15" x14ac:dyDescent="0.25">
      <c r="B70" s="29" t="s">
        <v>6</v>
      </c>
      <c r="C70" s="31">
        <f>C66/C6</f>
        <v>4.0021428571428572</v>
      </c>
      <c r="D70" s="31">
        <f>D66/D6</f>
        <v>6.2780000000000014</v>
      </c>
      <c r="E70" s="31">
        <f>E66/E6</f>
        <v>5.1738571428571429</v>
      </c>
      <c r="F70" s="31">
        <f>F66/F6</f>
        <v>5.5543076923076926</v>
      </c>
      <c r="G70" s="31">
        <f>(G66-G55)/G7</f>
        <v>0.54267499999999991</v>
      </c>
      <c r="H70" s="31">
        <f>H66/H7</f>
        <v>0.18484000000000003</v>
      </c>
      <c r="I70" s="31">
        <f>I66/I7</f>
        <v>1.7433227272727274</v>
      </c>
      <c r="J70" s="31">
        <f>J66/J6</f>
        <v>6.694675000000001</v>
      </c>
    </row>
    <row r="71" spans="2:10" ht="15" x14ac:dyDescent="0.25">
      <c r="B71" s="27"/>
      <c r="D71" s="27"/>
      <c r="E71" s="27"/>
      <c r="F71" s="27"/>
      <c r="G71" s="27"/>
      <c r="H71" s="27"/>
      <c r="I71" s="27"/>
      <c r="J71" s="27"/>
    </row>
    <row r="72" spans="2:10" ht="15.75" thickBot="1" x14ac:dyDescent="0.3">
      <c r="B72" s="32" t="s">
        <v>60</v>
      </c>
      <c r="C72" s="33">
        <f>C69/'State Yields'!B16</f>
        <v>0.7384514003294893</v>
      </c>
      <c r="D72" s="33">
        <f>D69/'State Yields'!C16</f>
        <v>0.81379220947566289</v>
      </c>
      <c r="E72" s="33">
        <f>E69/'State Yields'!D16</f>
        <v>1.0121003800581267</v>
      </c>
      <c r="F72" s="114" t="s">
        <v>191</v>
      </c>
      <c r="G72" s="33">
        <f>G69/'State Yields'!E16</f>
        <v>1.0449924621040021</v>
      </c>
      <c r="H72" s="33">
        <f>H69/'State Yields'!F16</f>
        <v>1.0362380589316951</v>
      </c>
      <c r="I72" s="33">
        <f>I69/'State Yields'!G16</f>
        <v>1.0465492588792598</v>
      </c>
      <c r="J72" s="33">
        <f>J69/'State Yields'!H16</f>
        <v>0.79984169653524506</v>
      </c>
    </row>
    <row r="73" spans="2:10" ht="15" thickTop="1" x14ac:dyDescent="0.2">
      <c r="B73" s="34" t="s">
        <v>10</v>
      </c>
      <c r="D73" s="22"/>
      <c r="E73" s="22"/>
      <c r="F73" s="22"/>
      <c r="G73" s="22"/>
      <c r="H73" s="22"/>
      <c r="I73" s="22"/>
    </row>
    <row r="74" spans="2:10" x14ac:dyDescent="0.2">
      <c r="B74" s="39" t="s">
        <v>273</v>
      </c>
    </row>
    <row r="75" spans="2:10" x14ac:dyDescent="0.2">
      <c r="B75" s="39" t="s">
        <v>56</v>
      </c>
    </row>
    <row r="76" spans="2:10" x14ac:dyDescent="0.2">
      <c r="B76" s="39" t="s">
        <v>19</v>
      </c>
    </row>
    <row r="77" spans="2:10" x14ac:dyDescent="0.2">
      <c r="B77" s="39" t="s">
        <v>274</v>
      </c>
    </row>
    <row r="78" spans="2:10" x14ac:dyDescent="0.2">
      <c r="B78" s="39" t="s">
        <v>57</v>
      </c>
    </row>
    <row r="79" spans="2:10" x14ac:dyDescent="0.2">
      <c r="B79" s="39" t="s">
        <v>19</v>
      </c>
    </row>
    <row r="80" spans="2:10" ht="15" x14ac:dyDescent="0.25">
      <c r="B80" s="145" t="s">
        <v>215</v>
      </c>
    </row>
    <row r="81" spans="2:10" ht="39" customHeight="1" thickBot="1" x14ac:dyDescent="0.25">
      <c r="B81" s="244" t="s">
        <v>61</v>
      </c>
      <c r="C81" s="244"/>
      <c r="D81" s="244"/>
      <c r="E81" s="244"/>
      <c r="F81" s="244"/>
      <c r="G81" s="244"/>
      <c r="H81" s="244"/>
      <c r="I81" s="244"/>
      <c r="J81" s="244"/>
    </row>
    <row r="82" spans="2:10" ht="15" thickBot="1" x14ac:dyDescent="0.25">
      <c r="B82" s="237" t="s">
        <v>213</v>
      </c>
      <c r="C82" s="136">
        <v>0.12</v>
      </c>
      <c r="D82" s="238"/>
      <c r="E82" s="238"/>
      <c r="F82" s="238"/>
      <c r="G82" s="239" t="s">
        <v>272</v>
      </c>
      <c r="H82" s="241">
        <f>(G55-(G8*G10))/G7</f>
        <v>1.2000000000000005E-2</v>
      </c>
      <c r="I82" s="240"/>
    </row>
    <row r="83" spans="2:10" x14ac:dyDescent="0.2">
      <c r="B83" s="70" t="s">
        <v>66</v>
      </c>
    </row>
    <row r="84" spans="2:10" x14ac:dyDescent="0.2">
      <c r="B84" s="70" t="s">
        <v>219</v>
      </c>
    </row>
    <row r="85" spans="2:10" x14ac:dyDescent="0.2">
      <c r="B85" s="70" t="s">
        <v>65</v>
      </c>
    </row>
    <row r="86" spans="2:10" x14ac:dyDescent="0.2">
      <c r="B86" s="70" t="s">
        <v>204</v>
      </c>
    </row>
    <row r="87" spans="2:10" x14ac:dyDescent="0.2">
      <c r="B87" s="70" t="s">
        <v>203</v>
      </c>
    </row>
    <row r="88" spans="2:10" x14ac:dyDescent="0.2">
      <c r="B88" s="70" t="s">
        <v>205</v>
      </c>
    </row>
    <row r="89" spans="2:10" x14ac:dyDescent="0.2">
      <c r="B89" s="70" t="s">
        <v>206</v>
      </c>
    </row>
    <row r="90" spans="2:10" ht="40.15" customHeight="1" x14ac:dyDescent="0.2">
      <c r="B90" s="244" t="s">
        <v>207</v>
      </c>
      <c r="C90" s="244"/>
      <c r="D90" s="244"/>
      <c r="E90" s="244"/>
      <c r="F90" s="244"/>
      <c r="G90" s="244"/>
      <c r="H90" s="244"/>
      <c r="I90" s="244"/>
    </row>
    <row r="91" spans="2:10" ht="15" customHeight="1" x14ac:dyDescent="0.2">
      <c r="B91" s="143" t="s">
        <v>208</v>
      </c>
      <c r="C91" s="118"/>
      <c r="D91" s="118"/>
      <c r="E91" s="118"/>
      <c r="F91" s="118"/>
      <c r="G91" s="118"/>
      <c r="H91" s="118"/>
      <c r="I91" s="118"/>
    </row>
    <row r="92" spans="2:10" ht="15" customHeight="1" x14ac:dyDescent="0.2">
      <c r="B92" s="143" t="s">
        <v>209</v>
      </c>
      <c r="C92" s="118"/>
      <c r="D92" s="118"/>
      <c r="E92" s="118"/>
      <c r="F92" s="118"/>
      <c r="G92" s="118"/>
      <c r="H92" s="118"/>
      <c r="I92" s="118"/>
    </row>
    <row r="93" spans="2:10" ht="21" customHeight="1" x14ac:dyDescent="0.2">
      <c r="B93" s="70" t="s">
        <v>210</v>
      </c>
    </row>
    <row r="94" spans="2:10" x14ac:dyDescent="0.2">
      <c r="B94" s="70" t="s">
        <v>211</v>
      </c>
    </row>
    <row r="95" spans="2:10" x14ac:dyDescent="0.2">
      <c r="B95" s="70"/>
    </row>
    <row r="96" spans="2:10" x14ac:dyDescent="0.2">
      <c r="B96" s="70"/>
    </row>
    <row r="97" spans="2:2" x14ac:dyDescent="0.2">
      <c r="B97" s="70"/>
    </row>
  </sheetData>
  <mergeCells count="7">
    <mergeCell ref="B90:I90"/>
    <mergeCell ref="B1:J1"/>
    <mergeCell ref="B15:J15"/>
    <mergeCell ref="B61:J61"/>
    <mergeCell ref="B64:J64"/>
    <mergeCell ref="B81:J81"/>
    <mergeCell ref="B5:J5"/>
  </mergeCells>
  <hyperlinks>
    <hyperlink ref="B80" r:id="rId1" xr:uid="{00000000-0004-0000-0000-000000000000}"/>
  </hyperlinks>
  <pageMargins left="0.7" right="0.7" top="0.75" bottom="0.75" header="0.3" footer="0.3"/>
  <pageSetup scale="55" orientation="portrait"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1"/>
  <sheetViews>
    <sheetView workbookViewId="0">
      <selection activeCell="A10" sqref="A10"/>
    </sheetView>
  </sheetViews>
  <sheetFormatPr defaultRowHeight="15" x14ac:dyDescent="0.25"/>
  <cols>
    <col min="1" max="1" width="66.28515625" bestFit="1" customWidth="1"/>
    <col min="2" max="2" width="11.140625" customWidth="1"/>
    <col min="3" max="10" width="18.140625" customWidth="1"/>
  </cols>
  <sheetData>
    <row r="1" spans="1:12" ht="28.5" customHeight="1" x14ac:dyDescent="0.3">
      <c r="A1" s="250" t="s">
        <v>261</v>
      </c>
      <c r="B1" s="250"/>
      <c r="C1" s="250"/>
      <c r="D1" s="250"/>
      <c r="E1" s="250"/>
      <c r="F1" s="250"/>
      <c r="G1" s="250"/>
      <c r="H1" s="250"/>
      <c r="I1" s="205"/>
      <c r="J1" s="205"/>
    </row>
    <row r="2" spans="1:12" ht="15.75" x14ac:dyDescent="0.25">
      <c r="A2" s="213"/>
      <c r="B2" s="213"/>
      <c r="C2" s="214" t="str">
        <f>C22</f>
        <v>Corn</v>
      </c>
      <c r="D2" s="214" t="str">
        <f t="shared" ref="D2:H2" si="0">D22</f>
        <v>Soybean</v>
      </c>
      <c r="E2" s="214" t="str">
        <f t="shared" si="0"/>
        <v>Wheat</v>
      </c>
      <c r="F2" s="214" t="str">
        <f t="shared" si="0"/>
        <v>Sorghum</v>
      </c>
      <c r="G2" s="214" t="str">
        <f t="shared" si="0"/>
        <v>Cotton</v>
      </c>
      <c r="H2" s="214" t="str">
        <f t="shared" si="0"/>
        <v>Peanuts</v>
      </c>
      <c r="I2" s="214" t="s">
        <v>163</v>
      </c>
      <c r="J2" s="214" t="s">
        <v>216</v>
      </c>
    </row>
    <row r="3" spans="1:12" ht="15.75" x14ac:dyDescent="0.25">
      <c r="A3" s="190" t="s">
        <v>260</v>
      </c>
      <c r="B3" s="190"/>
      <c r="C3" s="183">
        <v>0</v>
      </c>
      <c r="D3" s="183">
        <v>0</v>
      </c>
      <c r="E3" s="183">
        <v>0</v>
      </c>
      <c r="F3" s="183">
        <v>0</v>
      </c>
      <c r="G3" s="183">
        <v>0</v>
      </c>
      <c r="H3" s="183">
        <v>0</v>
      </c>
      <c r="I3" s="183">
        <v>0</v>
      </c>
      <c r="J3" s="183">
        <v>0</v>
      </c>
    </row>
    <row r="4" spans="1:12" ht="15.75" x14ac:dyDescent="0.25">
      <c r="A4" s="191" t="s">
        <v>259</v>
      </c>
      <c r="B4" s="190"/>
      <c r="C4" s="188"/>
      <c r="D4" s="188"/>
      <c r="E4" s="188"/>
      <c r="F4" s="188"/>
      <c r="G4" s="188"/>
      <c r="H4" s="188"/>
      <c r="I4" s="188"/>
      <c r="J4" s="188"/>
      <c r="L4" s="13"/>
    </row>
    <row r="5" spans="1:12" ht="15.75" x14ac:dyDescent="0.25">
      <c r="A5" s="190" t="s">
        <v>275</v>
      </c>
      <c r="B5" s="183">
        <v>1.82</v>
      </c>
      <c r="D5" s="19"/>
      <c r="E5" s="19"/>
      <c r="F5" s="19"/>
      <c r="G5" s="19"/>
      <c r="H5" s="19"/>
      <c r="I5" s="19"/>
      <c r="J5" s="19"/>
      <c r="L5" s="13"/>
    </row>
    <row r="6" spans="1:12" ht="15.75" x14ac:dyDescent="0.25">
      <c r="A6" s="190" t="s">
        <v>217</v>
      </c>
      <c r="B6" s="183">
        <v>1</v>
      </c>
      <c r="D6" s="19"/>
      <c r="E6" s="19"/>
      <c r="F6" s="19"/>
      <c r="G6" s="19"/>
      <c r="H6" s="19"/>
      <c r="I6" s="19"/>
      <c r="J6" s="19"/>
      <c r="L6" s="13"/>
    </row>
    <row r="7" spans="1:12" ht="15.75" x14ac:dyDescent="0.25">
      <c r="A7" s="190" t="s">
        <v>276</v>
      </c>
      <c r="B7" s="183">
        <v>1.62</v>
      </c>
      <c r="D7" s="19"/>
      <c r="E7" s="19"/>
      <c r="F7" s="19"/>
      <c r="G7" s="19"/>
      <c r="H7" s="19"/>
      <c r="I7" s="19"/>
      <c r="J7" s="19"/>
      <c r="L7" s="13"/>
    </row>
    <row r="8" spans="1:12" ht="15.75" x14ac:dyDescent="0.25">
      <c r="A8" s="206" t="s">
        <v>179</v>
      </c>
      <c r="B8" s="183">
        <v>1</v>
      </c>
      <c r="D8" s="19"/>
      <c r="E8" s="19"/>
      <c r="F8" s="19"/>
      <c r="G8" s="19"/>
      <c r="H8" s="19"/>
      <c r="I8" s="19"/>
      <c r="J8" s="19"/>
      <c r="L8" s="13"/>
    </row>
    <row r="9" spans="1:12" ht="15.75" x14ac:dyDescent="0.25">
      <c r="A9" s="206" t="s">
        <v>277</v>
      </c>
      <c r="B9" s="183">
        <v>1.02</v>
      </c>
      <c r="D9" s="19"/>
      <c r="E9" s="19"/>
      <c r="F9" s="19"/>
      <c r="G9" s="19"/>
      <c r="H9" s="19"/>
      <c r="I9" s="19"/>
      <c r="J9" s="19"/>
      <c r="L9" s="13"/>
    </row>
    <row r="10" spans="1:12" ht="15.75" x14ac:dyDescent="0.25">
      <c r="A10" s="190" t="s">
        <v>278</v>
      </c>
      <c r="B10" s="183">
        <v>1.26</v>
      </c>
      <c r="D10" s="19"/>
      <c r="E10" s="19"/>
      <c r="F10" s="19"/>
      <c r="G10" s="19"/>
      <c r="H10" s="19"/>
      <c r="I10" s="19"/>
      <c r="J10" s="19"/>
    </row>
    <row r="11" spans="1:12" ht="15.75" x14ac:dyDescent="0.25">
      <c r="A11" s="190" t="s">
        <v>279</v>
      </c>
      <c r="B11" s="183">
        <v>2.0299999999999998</v>
      </c>
      <c r="D11" s="19"/>
      <c r="E11" s="19"/>
      <c r="F11" s="19"/>
      <c r="G11" s="19"/>
      <c r="H11" s="19"/>
      <c r="I11" s="19"/>
      <c r="J11" s="19"/>
    </row>
    <row r="12" spans="1:12" ht="15.75" x14ac:dyDescent="0.25">
      <c r="A12" s="190" t="s">
        <v>254</v>
      </c>
      <c r="B12" s="183">
        <v>1</v>
      </c>
      <c r="D12" s="19"/>
      <c r="E12" s="19"/>
      <c r="F12" s="19"/>
      <c r="G12" s="19"/>
      <c r="H12" s="19"/>
      <c r="I12" s="19"/>
      <c r="J12" s="19"/>
      <c r="L12" s="13"/>
    </row>
    <row r="13" spans="1:12" ht="15.75" x14ac:dyDescent="0.25">
      <c r="A13" s="190" t="s">
        <v>282</v>
      </c>
      <c r="B13" s="183">
        <v>1.2</v>
      </c>
      <c r="D13" s="19"/>
      <c r="E13" s="19"/>
      <c r="F13" s="19"/>
      <c r="G13" s="19"/>
      <c r="H13" s="19"/>
      <c r="I13" s="19"/>
      <c r="J13" s="19"/>
      <c r="L13" s="13"/>
    </row>
    <row r="14" spans="1:12" ht="15.75" x14ac:dyDescent="0.25">
      <c r="A14" s="206" t="s">
        <v>283</v>
      </c>
      <c r="B14" s="183">
        <v>1.2</v>
      </c>
      <c r="D14" s="19"/>
      <c r="E14" s="19"/>
      <c r="F14" s="19"/>
      <c r="G14" s="19"/>
      <c r="H14" s="19"/>
      <c r="I14" s="19"/>
      <c r="J14" s="19"/>
      <c r="L14" s="13"/>
    </row>
    <row r="15" spans="1:12" ht="15.75" x14ac:dyDescent="0.25">
      <c r="A15" s="206" t="s">
        <v>284</v>
      </c>
      <c r="B15" s="183">
        <v>1.2</v>
      </c>
      <c r="D15" s="19"/>
      <c r="E15" s="19"/>
      <c r="F15" s="19"/>
      <c r="G15" s="19"/>
      <c r="H15" s="19"/>
      <c r="I15" s="19"/>
      <c r="J15" s="19"/>
      <c r="L15" s="13"/>
    </row>
    <row r="16" spans="1:12" ht="15.75" x14ac:dyDescent="0.25">
      <c r="A16" s="190" t="s">
        <v>285</v>
      </c>
      <c r="B16" s="183">
        <v>1.2</v>
      </c>
      <c r="D16" s="19"/>
      <c r="E16" s="19"/>
      <c r="F16" s="19"/>
      <c r="G16" s="19"/>
      <c r="H16" s="19"/>
      <c r="I16" s="19"/>
      <c r="J16" s="19"/>
    </row>
    <row r="17" spans="1:12" ht="15.75" x14ac:dyDescent="0.25">
      <c r="A17" s="206" t="s">
        <v>286</v>
      </c>
      <c r="B17" s="183">
        <v>1.2</v>
      </c>
      <c r="D17" s="19"/>
      <c r="E17" s="19"/>
      <c r="F17" s="19"/>
      <c r="G17" s="19"/>
      <c r="H17" s="19"/>
      <c r="I17" s="19"/>
      <c r="J17" s="19"/>
    </row>
    <row r="18" spans="1:12" ht="15.75" x14ac:dyDescent="0.25">
      <c r="A18" s="242" t="s">
        <v>287</v>
      </c>
      <c r="B18" s="218">
        <v>1.2</v>
      </c>
      <c r="C18" s="219"/>
      <c r="D18" s="220"/>
      <c r="E18" s="220"/>
      <c r="F18" s="220"/>
      <c r="G18" s="220"/>
      <c r="H18" s="220"/>
      <c r="I18" s="220"/>
      <c r="J18" s="220"/>
    </row>
    <row r="19" spans="1:12" ht="15.75" x14ac:dyDescent="0.25">
      <c r="A19" s="243" t="s">
        <v>288</v>
      </c>
      <c r="B19" s="221">
        <v>1.2</v>
      </c>
      <c r="C19" s="222"/>
      <c r="D19" s="223"/>
      <c r="E19" s="223"/>
      <c r="F19" s="223"/>
      <c r="G19" s="223"/>
      <c r="H19" s="223"/>
      <c r="I19" s="223"/>
      <c r="J19" s="223"/>
    </row>
    <row r="20" spans="1:12" ht="15.75" x14ac:dyDescent="0.25">
      <c r="A20" s="217"/>
      <c r="B20" s="217"/>
      <c r="C20" s="217"/>
      <c r="D20" s="217"/>
      <c r="E20" s="217"/>
      <c r="F20" s="217"/>
      <c r="G20" s="217"/>
      <c r="H20" s="217"/>
      <c r="I20" s="217"/>
      <c r="J20" s="217"/>
      <c r="L20" s="13"/>
    </row>
    <row r="21" spans="1:12" ht="20.25" x14ac:dyDescent="0.3">
      <c r="A21" s="251" t="s">
        <v>269</v>
      </c>
      <c r="B21" s="251"/>
      <c r="C21" s="251"/>
      <c r="D21" s="251"/>
      <c r="E21" s="251"/>
      <c r="F21" s="251"/>
      <c r="G21" s="251"/>
      <c r="H21" s="251"/>
      <c r="I21" s="204"/>
      <c r="J21" s="204"/>
    </row>
    <row r="22" spans="1:12" ht="15.75" x14ac:dyDescent="0.25">
      <c r="A22" s="215"/>
      <c r="B22" s="215"/>
      <c r="C22" s="216" t="str">
        <f>'Crop Comparison'!$C$4</f>
        <v>Corn</v>
      </c>
      <c r="D22" s="216" t="str">
        <f>'Crop Comparison'!$D$4</f>
        <v>Soybean</v>
      </c>
      <c r="E22" s="216" t="str">
        <f>'Crop Comparison'!$E$4</f>
        <v>Wheat</v>
      </c>
      <c r="F22" s="216" t="str">
        <f>'Crop Comparison'!$F$4</f>
        <v>Sorghum</v>
      </c>
      <c r="G22" s="216" t="str">
        <f>'Crop Comparison'!$G$4</f>
        <v>Cotton</v>
      </c>
      <c r="H22" s="216" t="str">
        <f>'Crop Comparison'!$H$4</f>
        <v>Peanuts</v>
      </c>
      <c r="I22" s="216" t="str">
        <f>'Crop Comparison'!$I$4</f>
        <v>Tobacco</v>
      </c>
      <c r="J22" s="216" t="str">
        <f>'Crop Comparison'!$J$4</f>
        <v>Sweet Potatoes</v>
      </c>
    </row>
    <row r="23" spans="1:12" ht="15.75" x14ac:dyDescent="0.25">
      <c r="A23" s="193" t="str">
        <f>'Crop Comparison'!B13</f>
        <v>Gross Revenue</v>
      </c>
      <c r="B23" s="193"/>
      <c r="C23" s="195">
        <f>'Crop Comparison'!C13</f>
        <v>849.8</v>
      </c>
      <c r="D23" s="195">
        <f>'Crop Comparison'!D13</f>
        <v>750.6</v>
      </c>
      <c r="E23" s="195">
        <f>'Crop Comparison'!E13</f>
        <v>441</v>
      </c>
      <c r="F23" s="195">
        <f>'Crop Comparison'!F13</f>
        <v>377.58499999999998</v>
      </c>
      <c r="G23" s="195">
        <f>'Crop Comparison'!G13</f>
        <v>1185.5999999999999</v>
      </c>
      <c r="H23" s="195">
        <f>'Crop Comparison'!H13</f>
        <v>1100</v>
      </c>
      <c r="I23" s="195">
        <f>'Crop Comparison'!I13</f>
        <v>4180</v>
      </c>
      <c r="J23" s="195">
        <f>'Crop Comparison'!J13</f>
        <v>3600</v>
      </c>
      <c r="L23" s="13"/>
    </row>
    <row r="24" spans="1:12" ht="15.75" x14ac:dyDescent="0.25">
      <c r="A24" s="193"/>
      <c r="B24" s="193"/>
      <c r="C24" s="196"/>
      <c r="D24" s="196"/>
      <c r="E24" s="196"/>
      <c r="F24" s="196"/>
      <c r="G24" s="196"/>
      <c r="H24" s="196"/>
      <c r="I24" s="196"/>
      <c r="J24" s="196"/>
    </row>
    <row r="25" spans="1:12" ht="15.75" x14ac:dyDescent="0.25">
      <c r="A25" s="193" t="str">
        <f>'Crop Comparison'!B59</f>
        <v>Total Variable Costs</v>
      </c>
      <c r="B25" s="193"/>
      <c r="C25" s="195">
        <f>'Crop Comparison'!C59</f>
        <v>510.55</v>
      </c>
      <c r="D25" s="195">
        <f>'Crop Comparison'!D59</f>
        <v>322.01000000000005</v>
      </c>
      <c r="E25" s="195">
        <f>'Crop Comparison'!E59</f>
        <v>320.06</v>
      </c>
      <c r="F25" s="195">
        <f>'Crop Comparison'!F59</f>
        <v>299.18</v>
      </c>
      <c r="G25" s="195">
        <f>'Crop Comparison'!G59</f>
        <v>677.45999999999992</v>
      </c>
      <c r="H25" s="195">
        <f>'Crop Comparison'!H59</f>
        <v>800.87000000000012</v>
      </c>
      <c r="I25" s="195">
        <f>'Crop Comparison'!I59</f>
        <v>3120.61</v>
      </c>
      <c r="J25" s="195">
        <f>'Crop Comparison'!J59</f>
        <v>2589.34</v>
      </c>
    </row>
    <row r="26" spans="1:12" ht="15.75" x14ac:dyDescent="0.25">
      <c r="A26" s="193" t="str">
        <f>'Crop Comparison'!B65</f>
        <v>Total Fixed Costs</v>
      </c>
      <c r="B26" s="193"/>
      <c r="C26" s="195">
        <f>'Crop Comparison'!C65</f>
        <v>49.75</v>
      </c>
      <c r="D26" s="195">
        <f>'Crop Comparison'!D65</f>
        <v>54.67</v>
      </c>
      <c r="E26" s="195">
        <f>'Crop Comparison'!E65</f>
        <v>42.11</v>
      </c>
      <c r="F26" s="195">
        <f>'Crop Comparison'!F65</f>
        <v>61.85</v>
      </c>
      <c r="G26" s="195">
        <f>'Crop Comparison'!G65</f>
        <v>117.75</v>
      </c>
      <c r="H26" s="195">
        <f>'Crop Comparison'!H65</f>
        <v>123.33</v>
      </c>
      <c r="I26" s="195">
        <f>'Crop Comparison'!I65</f>
        <v>714.7</v>
      </c>
      <c r="J26" s="195">
        <f>'Crop Comparison'!J65</f>
        <v>88.53</v>
      </c>
    </row>
    <row r="27" spans="1:12" ht="16.5" thickBot="1" x14ac:dyDescent="0.3">
      <c r="A27" s="235" t="str">
        <f>'Crop Comparison'!B66</f>
        <v>Total Cost</v>
      </c>
      <c r="B27" s="235"/>
      <c r="C27" s="234">
        <f>'Crop Comparison'!C66</f>
        <v>560.29999999999995</v>
      </c>
      <c r="D27" s="234">
        <f>'Crop Comparison'!D66</f>
        <v>376.68000000000006</v>
      </c>
      <c r="E27" s="234">
        <f>'Crop Comparison'!E66</f>
        <v>362.17</v>
      </c>
      <c r="F27" s="234">
        <f>'Crop Comparison'!F66</f>
        <v>361.03000000000003</v>
      </c>
      <c r="G27" s="234">
        <f>'Crop Comparison'!G66</f>
        <v>795.20999999999992</v>
      </c>
      <c r="H27" s="234">
        <f>'Crop Comparison'!H66</f>
        <v>924.20000000000016</v>
      </c>
      <c r="I27" s="234">
        <f>'Crop Comparison'!I66</f>
        <v>3835.3100000000004</v>
      </c>
      <c r="J27" s="234">
        <f>'Crop Comparison'!J66</f>
        <v>2677.8700000000003</v>
      </c>
    </row>
    <row r="28" spans="1:12" ht="18.75" thickTop="1" x14ac:dyDescent="0.25">
      <c r="A28" s="197" t="str">
        <f>'Crop Comparison'!B67</f>
        <v>NET RETURNS TO FARMER AND RISK:</v>
      </c>
      <c r="B28" s="197"/>
      <c r="C28" s="198">
        <f>'Crop Comparison'!C67</f>
        <v>289.5</v>
      </c>
      <c r="D28" s="198">
        <f>'Crop Comparison'!D67</f>
        <v>373.91999999999996</v>
      </c>
      <c r="E28" s="198">
        <f>'Crop Comparison'!E67</f>
        <v>78.829999999999984</v>
      </c>
      <c r="F28" s="198">
        <f>'Crop Comparison'!F67</f>
        <v>16.55499999999995</v>
      </c>
      <c r="G28" s="198">
        <f>'Crop Comparison'!G67</f>
        <v>390.39</v>
      </c>
      <c r="H28" s="198">
        <f>'Crop Comparison'!H67</f>
        <v>175.79999999999984</v>
      </c>
      <c r="I28" s="198">
        <f>'Crop Comparison'!I67</f>
        <v>344.6899999999996</v>
      </c>
      <c r="J28" s="198">
        <f>'Crop Comparison'!J67</f>
        <v>922.12999999999965</v>
      </c>
    </row>
    <row r="29" spans="1:12" ht="15.75" x14ac:dyDescent="0.25">
      <c r="A29" s="224"/>
      <c r="B29" s="224"/>
      <c r="C29" s="225"/>
      <c r="D29" s="225"/>
      <c r="E29" s="225"/>
      <c r="F29" s="225"/>
      <c r="G29" s="225"/>
      <c r="H29" s="225"/>
      <c r="I29" s="225"/>
      <c r="J29" s="225"/>
    </row>
    <row r="30" spans="1:12" ht="20.25" x14ac:dyDescent="0.3">
      <c r="A30" s="251" t="s">
        <v>270</v>
      </c>
      <c r="B30" s="251"/>
      <c r="C30" s="251"/>
      <c r="D30" s="251"/>
      <c r="E30" s="251"/>
      <c r="F30" s="251"/>
      <c r="G30" s="251"/>
      <c r="H30" s="251"/>
      <c r="I30" s="204"/>
      <c r="J30" s="204"/>
    </row>
    <row r="31" spans="1:12" ht="15.75" x14ac:dyDescent="0.25">
      <c r="A31" s="199" t="str">
        <f>'Crop Comparison'!B16</f>
        <v xml:space="preserve">  SEED or TRANSPLANTS</v>
      </c>
      <c r="B31" s="199"/>
      <c r="C31" s="195">
        <f>IF('Crop Comparison'!C16&gt;0,'Crop Comparison'!C16,"-")</f>
        <v>79.680000000000007</v>
      </c>
      <c r="D31" s="195">
        <f>IF('Crop Comparison'!D16&gt;0,'Crop Comparison'!D16,"-")</f>
        <v>44</v>
      </c>
      <c r="E31" s="195">
        <f>IF('Crop Comparison'!E16&gt;0,'Crop Comparison'!E16,"-")</f>
        <v>45</v>
      </c>
      <c r="F31" s="195">
        <f>IF('Crop Comparison'!F16&gt;0,'Crop Comparison'!F16,"-")</f>
        <v>15</v>
      </c>
      <c r="G31" s="195">
        <f>IF('Crop Comparison'!G16&gt;0,'Crop Comparison'!G16,"-")</f>
        <v>88.61999999999999</v>
      </c>
      <c r="H31" s="195">
        <f>IF('Crop Comparison'!H16&gt;0,'Crop Comparison'!H16,"-")</f>
        <v>106.25</v>
      </c>
      <c r="I31" s="195">
        <f>IF('Crop Comparison'!I16&gt;0,'Crop Comparison'!I16,"-")</f>
        <v>240</v>
      </c>
      <c r="J31" s="195">
        <f>IF('Crop Comparison'!J16&gt;0,'Crop Comparison'!J16,"-")</f>
        <v>500</v>
      </c>
    </row>
    <row r="32" spans="1:12" ht="15.75" x14ac:dyDescent="0.25">
      <c r="A32" s="199" t="str">
        <f>'Crop Comparison'!B20</f>
        <v xml:space="preserve">    NITROGEN 30%</v>
      </c>
      <c r="B32" s="199"/>
      <c r="C32" s="195">
        <f>IF('Crop Comparison'!C20&gt;0,'Crop Comparison'!C20,"-")</f>
        <v>43.4</v>
      </c>
      <c r="D32" s="195" t="str">
        <f>IF('Crop Comparison'!D20&gt;0,'Crop Comparison'!D20,"-")</f>
        <v>-</v>
      </c>
      <c r="E32" s="195">
        <f>IF('Crop Comparison'!E20&gt;0,'Crop Comparison'!E20,"-")</f>
        <v>32.67</v>
      </c>
      <c r="F32" s="195">
        <f>IF('Crop Comparison'!F20&gt;0,'Crop Comparison'!F20,"-")</f>
        <v>23.24</v>
      </c>
      <c r="G32" s="195">
        <f>IF('Crop Comparison'!G20&gt;0,'Crop Comparison'!G20,"-")</f>
        <v>21</v>
      </c>
      <c r="H32" s="195" t="str">
        <f>IF('Crop Comparison'!H20&gt;0,'Crop Comparison'!H20,"-")</f>
        <v>-</v>
      </c>
      <c r="I32" s="195">
        <f>IF('Crop Comparison'!I20&gt;0,'Crop Comparison'!I20,"-")</f>
        <v>32.5</v>
      </c>
      <c r="J32" s="195" t="str">
        <f>IF('Crop Comparison'!J20&gt;0,'Crop Comparison'!J20,"-")</f>
        <v>-</v>
      </c>
    </row>
    <row r="33" spans="1:10" ht="15.75" x14ac:dyDescent="0.25">
      <c r="A33" s="193" t="s">
        <v>217</v>
      </c>
      <c r="B33" s="199"/>
      <c r="C33" s="195" t="str">
        <f>IF('Crop Comparison'!C21&gt;0,'Crop Comparison'!C21,"-")</f>
        <v>-</v>
      </c>
      <c r="D33" s="195" t="str">
        <f>IF('Crop Comparison'!D21&gt;0,'Crop Comparison'!D21,"-")</f>
        <v>-</v>
      </c>
      <c r="E33" s="195" t="str">
        <f>IF('Crop Comparison'!E21&gt;0,'Crop Comparison'!E21,"-")</f>
        <v>-</v>
      </c>
      <c r="F33" s="195" t="str">
        <f>IF('Crop Comparison'!F21&gt;0,'Crop Comparison'!F21,"-")</f>
        <v>-</v>
      </c>
      <c r="G33" s="195" t="str">
        <f>IF('Crop Comparison'!G21&gt;0,'Crop Comparison'!G21,"-")</f>
        <v>-</v>
      </c>
      <c r="H33" s="195" t="str">
        <f>IF('Crop Comparison'!H21&gt;0,'Crop Comparison'!H21,"-")</f>
        <v>-</v>
      </c>
      <c r="I33" s="195" t="str">
        <f>IF('Crop Comparison'!I21&gt;0,'Crop Comparison'!I21,"-")</f>
        <v>-</v>
      </c>
      <c r="J33" s="195">
        <f>IF('Crop Comparison'!J21&gt;0,'Crop Comparison'!J21,"-")</f>
        <v>60.8</v>
      </c>
    </row>
    <row r="34" spans="1:10" ht="15.75" x14ac:dyDescent="0.25">
      <c r="A34" s="199" t="str">
        <f>'Crop Comparison'!B22</f>
        <v xml:space="preserve">    DAP (18-46-0)</v>
      </c>
      <c r="B34" s="199"/>
      <c r="C34" s="195">
        <f>IF('Crop Comparison'!C22&gt;0,'Crop Comparison'!C22,"-")</f>
        <v>33.75</v>
      </c>
      <c r="D34" s="195" t="str">
        <f>IF('Crop Comparison'!D22&gt;0,'Crop Comparison'!D22,"-")</f>
        <v>-</v>
      </c>
      <c r="E34" s="195" t="str">
        <f>IF('Crop Comparison'!E22&gt;0,'Crop Comparison'!E22,"-")</f>
        <v>-</v>
      </c>
      <c r="F34" s="195" t="str">
        <f>IF('Crop Comparison'!F22&gt;0,'Crop Comparison'!F22,"-")</f>
        <v>-</v>
      </c>
      <c r="G34" s="195">
        <f>IF('Crop Comparison'!G22&gt;0,'Crop Comparison'!G22,"-")</f>
        <v>25</v>
      </c>
      <c r="H34" s="195" t="str">
        <f>IF('Crop Comparison'!H22&gt;0,'Crop Comparison'!H22,"-")</f>
        <v>-</v>
      </c>
      <c r="I34" s="195" t="str">
        <f>IF('Crop Comparison'!I22&gt;0,'Crop Comparison'!I22,"-")</f>
        <v>-</v>
      </c>
      <c r="J34" s="195" t="str">
        <f>IF('Crop Comparison'!J22&gt;0,'Crop Comparison'!J22,"-")</f>
        <v>-</v>
      </c>
    </row>
    <row r="35" spans="1:10" ht="15.75" x14ac:dyDescent="0.25">
      <c r="A35" s="207" t="s">
        <v>179</v>
      </c>
      <c r="B35" s="199"/>
      <c r="C35" s="195" t="str">
        <f>IF('Crop Comparison'!C23&gt;0,'Crop Comparison'!C23,"-")</f>
        <v>-</v>
      </c>
      <c r="D35" s="195" t="str">
        <f>IF('Crop Comparison'!D23&gt;0,'Crop Comparison'!D23,"-")</f>
        <v>-</v>
      </c>
      <c r="E35" s="195" t="str">
        <f>IF('Crop Comparison'!E23&gt;0,'Crop Comparison'!E23,"-")</f>
        <v>-</v>
      </c>
      <c r="F35" s="195" t="str">
        <f>IF('Crop Comparison'!F23&gt;0,'Crop Comparison'!F23,"-")</f>
        <v>-</v>
      </c>
      <c r="G35" s="195" t="str">
        <f>IF('Crop Comparison'!G23&gt;0,'Crop Comparison'!G23,"-")</f>
        <v>-</v>
      </c>
      <c r="H35" s="195" t="str">
        <f>IF('Crop Comparison'!H23&gt;0,'Crop Comparison'!H23,"-")</f>
        <v>-</v>
      </c>
      <c r="I35" s="195">
        <f>IF('Crop Comparison'!I23&gt;0,'Crop Comparison'!I23,"-")</f>
        <v>87.12</v>
      </c>
      <c r="J35" s="195" t="str">
        <f>IF('Crop Comparison'!J23&gt;0,'Crop Comparison'!J23,"-")</f>
        <v>-</v>
      </c>
    </row>
    <row r="36" spans="1:10" ht="15.75" x14ac:dyDescent="0.25">
      <c r="A36" s="207" t="s">
        <v>227</v>
      </c>
      <c r="B36" s="199"/>
      <c r="C36" s="195" t="str">
        <f>IF('Crop Comparison'!C24&gt;0,'Crop Comparison'!C24,"-")</f>
        <v>-</v>
      </c>
      <c r="D36" s="195" t="str">
        <f>IF('Crop Comparison'!D24&gt;0,'Crop Comparison'!D24,"-")</f>
        <v>-</v>
      </c>
      <c r="E36" s="195" t="str">
        <f>IF('Crop Comparison'!E24&gt;0,'Crop Comparison'!E24,"-")</f>
        <v>-</v>
      </c>
      <c r="F36" s="195" t="str">
        <f>IF('Crop Comparison'!F24&gt;0,'Crop Comparison'!F24,"-")</f>
        <v>-</v>
      </c>
      <c r="G36" s="195" t="str">
        <f>IF('Crop Comparison'!G24&gt;0,'Crop Comparison'!G24,"-")</f>
        <v>-</v>
      </c>
      <c r="H36" s="195" t="str">
        <f>IF('Crop Comparison'!H24&gt;0,'Crop Comparison'!H24,"-")</f>
        <v>-</v>
      </c>
      <c r="I36" s="195">
        <f>IF('Crop Comparison'!I24&gt;0,'Crop Comparison'!I24,"-")</f>
        <v>104.92</v>
      </c>
      <c r="J36" s="195" t="str">
        <f>IF('Crop Comparison'!J24&gt;0,'Crop Comparison'!J24,"-")</f>
        <v>-</v>
      </c>
    </row>
    <row r="37" spans="1:10" ht="15.75" x14ac:dyDescent="0.25">
      <c r="A37" s="199" t="str">
        <f>'Crop Comparison'!B25</f>
        <v xml:space="preserve">    PHOSPHATE (0-46-0)</v>
      </c>
      <c r="B37" s="199"/>
      <c r="C37" s="195" t="str">
        <f>IF('Crop Comparison'!C25&gt;0,'Crop Comparison'!C25,"-")</f>
        <v>-</v>
      </c>
      <c r="D37" s="195">
        <f>IF('Crop Comparison'!D25&gt;0,'Crop Comparison'!D25,"-")</f>
        <v>18.09</v>
      </c>
      <c r="E37" s="195">
        <f>IF('Crop Comparison'!E25&gt;0,'Crop Comparison'!E25,"-")</f>
        <v>15.83</v>
      </c>
      <c r="F37" s="195">
        <f>IF('Crop Comparison'!F25&gt;0,'Crop Comparison'!F25,"-")</f>
        <v>18.309999999999999</v>
      </c>
      <c r="G37" s="195" t="str">
        <f>IF('Crop Comparison'!G25&gt;0,'Crop Comparison'!G25,"-")</f>
        <v>-</v>
      </c>
      <c r="H37" s="195">
        <f>IF('Crop Comparison'!H25&gt;0,'Crop Comparison'!H25,"-")</f>
        <v>12.48</v>
      </c>
      <c r="I37" s="195" t="str">
        <f>IF('Crop Comparison'!I25&gt;0,'Crop Comparison'!I25,"-")</f>
        <v>-</v>
      </c>
      <c r="J37" s="195">
        <f>IF('Crop Comparison'!J25&gt;0,'Crop Comparison'!J25,"-")</f>
        <v>14.95</v>
      </c>
    </row>
    <row r="38" spans="1:10" ht="15.75" x14ac:dyDescent="0.25">
      <c r="A38" s="199" t="str">
        <f>'Crop Comparison'!B26</f>
        <v xml:space="preserve">    POTASH (0-0-60)</v>
      </c>
      <c r="B38" s="199"/>
      <c r="C38" s="195">
        <f>IF('Crop Comparison'!C26&gt;0,'Crop Comparison'!C26,"-")</f>
        <v>12.6</v>
      </c>
      <c r="D38" s="195">
        <f>IF('Crop Comparison'!D26&gt;0,'Crop Comparison'!D26,"-")</f>
        <v>20.72</v>
      </c>
      <c r="E38" s="195">
        <f>IF('Crop Comparison'!E26&gt;0,'Crop Comparison'!E26,"-")</f>
        <v>7.35</v>
      </c>
      <c r="F38" s="195">
        <f>IF('Crop Comparison'!F26&gt;0,'Crop Comparison'!F26,"-")</f>
        <v>6.3</v>
      </c>
      <c r="G38" s="195">
        <f>IF('Crop Comparison'!G26&gt;0,'Crop Comparison'!G26,"-")</f>
        <v>10.5</v>
      </c>
      <c r="H38" s="195">
        <f>IF('Crop Comparison'!H26&gt;0,'Crop Comparison'!H26,"-")</f>
        <v>21</v>
      </c>
      <c r="I38" s="195" t="str">
        <f>IF('Crop Comparison'!I26&gt;0,'Crop Comparison'!I26,"-")</f>
        <v>-</v>
      </c>
      <c r="J38" s="195">
        <f>IF('Crop Comparison'!J26&gt;0,'Crop Comparison'!J26,"-")</f>
        <v>33.6</v>
      </c>
    </row>
    <row r="39" spans="1:10" ht="15.75" x14ac:dyDescent="0.25">
      <c r="A39" s="199" t="str">
        <f>'Crop Comparison'!B30</f>
        <v xml:space="preserve">  LIME (PRORATED)</v>
      </c>
      <c r="B39" s="199"/>
      <c r="C39" s="195">
        <f>IF('Crop Comparison'!C30&gt;0,'Crop Comparison'!C30,"-")</f>
        <v>17.989999999999998</v>
      </c>
      <c r="D39" s="195">
        <f>IF('Crop Comparison'!D30&gt;0,'Crop Comparison'!D30,"-")</f>
        <v>17.989999999999998</v>
      </c>
      <c r="E39" s="195">
        <f>IF('Crop Comparison'!E30&gt;0,'Crop Comparison'!E30,"-")</f>
        <v>17.989999999999998</v>
      </c>
      <c r="F39" s="195">
        <f>IF('Crop Comparison'!F30&gt;0,'Crop Comparison'!F30,"-")</f>
        <v>17.989999999999998</v>
      </c>
      <c r="G39" s="195">
        <f>IF('Crop Comparison'!G30&gt;0,'Crop Comparison'!G30,"-")</f>
        <v>17.989999999999998</v>
      </c>
      <c r="H39" s="195">
        <f>IF('Crop Comparison'!H30&gt;0,'Crop Comparison'!H30,"-")</f>
        <v>17.989999999999998</v>
      </c>
      <c r="I39" s="195">
        <f>IF('Crop Comparison'!I30&gt;0,'Crop Comparison'!I30,"-")</f>
        <v>17.989999999999998</v>
      </c>
      <c r="J39" s="195">
        <f>IF('Crop Comparison'!J30&gt;0,'Crop Comparison'!J30,"-")</f>
        <v>17.989999999999998</v>
      </c>
    </row>
    <row r="40" spans="1:10" ht="15.75" x14ac:dyDescent="0.25">
      <c r="A40" s="199" t="str">
        <f>'Crop Comparison'!B32</f>
        <v xml:space="preserve">  HERBICIDES</v>
      </c>
      <c r="B40" s="199"/>
      <c r="C40" s="195">
        <f>IF('Crop Comparison'!C32&gt;0,'Crop Comparison'!C32,"-")</f>
        <v>32.72</v>
      </c>
      <c r="D40" s="195">
        <f>IF('Crop Comparison'!D32&gt;0,'Crop Comparison'!D32,"-")</f>
        <v>31.59</v>
      </c>
      <c r="E40" s="195">
        <f>IF('Crop Comparison'!E32&gt;0,'Crop Comparison'!E32,"-")</f>
        <v>11.41</v>
      </c>
      <c r="F40" s="195">
        <f>IF('Crop Comparison'!F32&gt;0,'Crop Comparison'!F32,"-")</f>
        <v>19.43</v>
      </c>
      <c r="G40" s="195">
        <f>IF('Crop Comparison'!G32&gt;0,'Crop Comparison'!G32,"-")</f>
        <v>63.07</v>
      </c>
      <c r="H40" s="195">
        <f>IF('Crop Comparison'!H32&gt;0,'Crop Comparison'!H32,"-")</f>
        <v>51.04</v>
      </c>
      <c r="I40" s="195">
        <f>IF('Crop Comparison'!I32&gt;0,'Crop Comparison'!I32,"-")</f>
        <v>54.41</v>
      </c>
      <c r="J40" s="195">
        <f>IF('Crop Comparison'!J32&gt;0,'Crop Comparison'!J32,"-")</f>
        <v>51</v>
      </c>
    </row>
    <row r="41" spans="1:10" ht="15.75" x14ac:dyDescent="0.25">
      <c r="A41" s="207" t="s">
        <v>218</v>
      </c>
      <c r="B41" s="199"/>
      <c r="C41" s="195" t="str">
        <f>IF('Crop Comparison'!C33&gt;0,'Crop Comparison'!C33,"-")</f>
        <v>-</v>
      </c>
      <c r="D41" s="195" t="str">
        <f>IF('Crop Comparison'!D33&gt;0,'Crop Comparison'!D33,"-")</f>
        <v>-</v>
      </c>
      <c r="E41" s="195">
        <f>IF('Crop Comparison'!E33&gt;0,'Crop Comparison'!E33,"-")</f>
        <v>7.06</v>
      </c>
      <c r="F41" s="195" t="str">
        <f>IF('Crop Comparison'!F33&gt;0,'Crop Comparison'!F33,"-")</f>
        <v>-</v>
      </c>
      <c r="G41" s="195" t="str">
        <f>IF('Crop Comparison'!G33&gt;0,'Crop Comparison'!G33,"-")</f>
        <v>-</v>
      </c>
      <c r="H41" s="195">
        <f>IF('Crop Comparison'!H33&gt;0,'Crop Comparison'!H33,"-")</f>
        <v>77.209999999999994</v>
      </c>
      <c r="I41" s="195">
        <f>IF('Crop Comparison'!I33&gt;0,'Crop Comparison'!I33,"-")</f>
        <v>104.77</v>
      </c>
      <c r="J41" s="195" t="str">
        <f>IF('Crop Comparison'!J33&gt;0,'Crop Comparison'!J33,"-")</f>
        <v>-</v>
      </c>
    </row>
    <row r="42" spans="1:10" ht="15.75" x14ac:dyDescent="0.25">
      <c r="A42" s="207" t="s">
        <v>34</v>
      </c>
      <c r="B42" s="199"/>
      <c r="C42" s="195" t="str">
        <f>IF('Crop Comparison'!C34&gt;0,'Crop Comparison'!C34,"-")</f>
        <v>-</v>
      </c>
      <c r="D42" s="195" t="str">
        <f>IF('Crop Comparison'!D34&gt;0,'Crop Comparison'!D34,"-")</f>
        <v>-</v>
      </c>
      <c r="E42" s="195" t="str">
        <f>IF('Crop Comparison'!E34&gt;0,'Crop Comparison'!E34,"-")</f>
        <v>-</v>
      </c>
      <c r="F42" s="195" t="str">
        <f>IF('Crop Comparison'!F34&gt;0,'Crop Comparison'!F34,"-")</f>
        <v>-</v>
      </c>
      <c r="G42" s="195" t="str">
        <f>IF('Crop Comparison'!G34&gt;0,'Crop Comparison'!G34,"-")</f>
        <v>-</v>
      </c>
      <c r="H42" s="195" t="str">
        <f>IF('Crop Comparison'!H34&gt;0,'Crop Comparison'!H34,"-")</f>
        <v>-</v>
      </c>
      <c r="I42" s="195" t="str">
        <f>IF('Crop Comparison'!I34&gt;0,'Crop Comparison'!I34,"-")</f>
        <v>-</v>
      </c>
      <c r="J42" s="195">
        <f>IF('Crop Comparison'!J34&gt;0,'Crop Comparison'!J34,"-")</f>
        <v>54.14</v>
      </c>
    </row>
    <row r="43" spans="1:10" ht="15.75" x14ac:dyDescent="0.25">
      <c r="A43" s="199" t="str">
        <f>'Crop Comparison'!B35</f>
        <v xml:space="preserve">  INSECTICIDES</v>
      </c>
      <c r="B43" s="199"/>
      <c r="C43" s="195" t="str">
        <f>IF('Crop Comparison'!C35,'Crop Comparison'!C35,"-")</f>
        <v>-</v>
      </c>
      <c r="D43" s="195" t="str">
        <f>IF('Crop Comparison'!D35,'Crop Comparison'!D35,"-")</f>
        <v>-</v>
      </c>
      <c r="E43" s="195">
        <f>IF('Crop Comparison'!E35,'Crop Comparison'!E35,"-")</f>
        <v>3.73</v>
      </c>
      <c r="F43" s="195">
        <f>IF('Crop Comparison'!F35,'Crop Comparison'!F35,"-")</f>
        <v>5.17</v>
      </c>
      <c r="G43" s="195">
        <f>IF('Crop Comparison'!G35,'Crop Comparison'!G35,"-")</f>
        <v>36.54</v>
      </c>
      <c r="H43" s="195">
        <f>IF('Crop Comparison'!H35,'Crop Comparison'!H35,"-")</f>
        <v>16.39</v>
      </c>
      <c r="I43" s="195">
        <f>IF('Crop Comparison'!I35,'Crop Comparison'!I35,"-")</f>
        <v>73.02</v>
      </c>
      <c r="J43" s="195">
        <f>IF('Crop Comparison'!J35,'Crop Comparison'!J35,"-")</f>
        <v>43.88</v>
      </c>
    </row>
    <row r="44" spans="1:10" ht="15.75" x14ac:dyDescent="0.25">
      <c r="A44" s="207" t="s">
        <v>180</v>
      </c>
      <c r="B44" s="199"/>
      <c r="C44" s="195" t="str">
        <f>IF('Crop Comparison'!C36,'Crop Comparison'!C36,"-")</f>
        <v>-</v>
      </c>
      <c r="D44" s="195" t="str">
        <f>IF('Crop Comparison'!D36,'Crop Comparison'!D36,"-")</f>
        <v>-</v>
      </c>
      <c r="E44" s="195" t="str">
        <f>IF('Crop Comparison'!E36,'Crop Comparison'!E36,"-")</f>
        <v>-</v>
      </c>
      <c r="F44" s="195" t="str">
        <f>IF('Crop Comparison'!F36,'Crop Comparison'!F36,"-")</f>
        <v>-</v>
      </c>
      <c r="G44" s="195" t="str">
        <f>IF('Crop Comparison'!G36,'Crop Comparison'!G36,"-")</f>
        <v>-</v>
      </c>
      <c r="H44" s="195" t="str">
        <f>IF('Crop Comparison'!H36,'Crop Comparison'!H36,"-")</f>
        <v>-</v>
      </c>
      <c r="I44" s="195">
        <f>IF('Crop Comparison'!I36,'Crop Comparison'!I36,"-")</f>
        <v>187.53</v>
      </c>
      <c r="J44" s="195" t="str">
        <f>IF('Crop Comparison'!J36,'Crop Comparison'!J36,"-")</f>
        <v>-</v>
      </c>
    </row>
    <row r="45" spans="1:10" ht="15.75" x14ac:dyDescent="0.25">
      <c r="A45" s="229" t="s">
        <v>38</v>
      </c>
      <c r="B45" s="230"/>
      <c r="C45" s="231" t="str">
        <f>IF('Crop Comparison'!C37,'Crop Comparison'!C37,"-")</f>
        <v>-</v>
      </c>
      <c r="D45" s="231" t="str">
        <f>IF('Crop Comparison'!D37,'Crop Comparison'!D37,"-")</f>
        <v>-</v>
      </c>
      <c r="E45" s="231" t="str">
        <f>IF('Crop Comparison'!E37,'Crop Comparison'!E37,"-")</f>
        <v>-</v>
      </c>
      <c r="F45" s="231" t="str">
        <f>IF('Crop Comparison'!F37,'Crop Comparison'!F37,"-")</f>
        <v>-</v>
      </c>
      <c r="G45" s="231">
        <f>IF('Crop Comparison'!G37,'Crop Comparison'!G37,"-")</f>
        <v>21.299999999999997</v>
      </c>
      <c r="H45" s="231">
        <f>IF('Crop Comparison'!H37,'Crop Comparison'!H37,"-")</f>
        <v>48.94</v>
      </c>
      <c r="I45" s="231" t="str">
        <f>IF('Crop Comparison'!I37,'Crop Comparison'!I37,"-")</f>
        <v>-</v>
      </c>
      <c r="J45" s="231" t="str">
        <f>IF('Crop Comparison'!J37,'Crop Comparison'!J37,"-")</f>
        <v>-</v>
      </c>
    </row>
    <row r="46" spans="1:10" ht="16.5" thickBot="1" x14ac:dyDescent="0.3">
      <c r="A46" s="232" t="s">
        <v>35</v>
      </c>
      <c r="B46" s="233"/>
      <c r="C46" s="234">
        <f>IF('Crop Comparison'!C38,'Crop Comparison'!C38,"-")</f>
        <v>3.27</v>
      </c>
      <c r="D46" s="234">
        <f>IF('Crop Comparison'!D38,'Crop Comparison'!D38,"-")</f>
        <v>1.58</v>
      </c>
      <c r="E46" s="234" t="str">
        <f>IF('Crop Comparison'!E38,'Crop Comparison'!E38,"-")</f>
        <v>-</v>
      </c>
      <c r="F46" s="234" t="str">
        <f>IF('Crop Comparison'!F38,'Crop Comparison'!F38,"-")</f>
        <v>-</v>
      </c>
      <c r="G46" s="234">
        <f>IF('Crop Comparison'!G38,'Crop Comparison'!G38,"-")</f>
        <v>6.06</v>
      </c>
      <c r="H46" s="234">
        <f>IF('Crop Comparison'!H38,'Crop Comparison'!H38,"-")</f>
        <v>9.68</v>
      </c>
      <c r="I46" s="234">
        <f>IF('Crop Comparison'!I38,'Crop Comparison'!I38,"-")</f>
        <v>20.99</v>
      </c>
      <c r="J46" s="234" t="str">
        <f>IF('Crop Comparison'!J38,'Crop Comparison'!J38,"-")</f>
        <v>-</v>
      </c>
    </row>
    <row r="47" spans="1:10" ht="16.5" thickTop="1" x14ac:dyDescent="0.25">
      <c r="A47" s="211"/>
      <c r="B47" s="211"/>
      <c r="C47" s="212"/>
      <c r="D47" s="212"/>
      <c r="E47" s="212"/>
      <c r="F47" s="212"/>
      <c r="G47" s="212"/>
      <c r="H47" s="212"/>
      <c r="I47" s="212"/>
      <c r="J47" s="212"/>
    </row>
    <row r="48" spans="1:10" ht="15.75" x14ac:dyDescent="0.25">
      <c r="A48" s="194" t="s">
        <v>262</v>
      </c>
      <c r="B48" s="194"/>
      <c r="C48" s="200">
        <f>SUM(C31:C46)</f>
        <v>223.41000000000003</v>
      </c>
      <c r="D48" s="200">
        <f t="shared" ref="D48:J48" si="1">SUM(D31:D46)</f>
        <v>133.97</v>
      </c>
      <c r="E48" s="200">
        <f t="shared" si="1"/>
        <v>141.04</v>
      </c>
      <c r="F48" s="200">
        <f t="shared" si="1"/>
        <v>105.43999999999998</v>
      </c>
      <c r="G48" s="200">
        <f t="shared" si="1"/>
        <v>290.08000000000004</v>
      </c>
      <c r="H48" s="200">
        <f t="shared" si="1"/>
        <v>360.98</v>
      </c>
      <c r="I48" s="200">
        <f t="shared" si="1"/>
        <v>923.25</v>
      </c>
      <c r="J48" s="200">
        <f t="shared" si="1"/>
        <v>776.36</v>
      </c>
    </row>
    <row r="49" spans="1:10" ht="15.75" x14ac:dyDescent="0.25">
      <c r="A49" s="194" t="s">
        <v>264</v>
      </c>
      <c r="B49" s="194"/>
      <c r="C49" s="201">
        <f t="shared" ref="C49:J49" si="2">C48/C25</f>
        <v>0.43758691607090394</v>
      </c>
      <c r="D49" s="201">
        <f t="shared" si="2"/>
        <v>0.41604298003167595</v>
      </c>
      <c r="E49" s="201">
        <f t="shared" si="2"/>
        <v>0.44066737486721236</v>
      </c>
      <c r="F49" s="201">
        <f t="shared" si="2"/>
        <v>0.35242997526572628</v>
      </c>
      <c r="G49" s="201">
        <f t="shared" si="2"/>
        <v>0.42818764207480897</v>
      </c>
      <c r="H49" s="201">
        <f>H48/H25</f>
        <v>0.45073482587685887</v>
      </c>
      <c r="I49" s="201">
        <f t="shared" si="2"/>
        <v>0.29585561797212723</v>
      </c>
      <c r="J49" s="201">
        <f t="shared" si="2"/>
        <v>0.29982930013053516</v>
      </c>
    </row>
    <row r="50" spans="1:10" ht="15.75" x14ac:dyDescent="0.25">
      <c r="A50" s="217"/>
      <c r="B50" s="217"/>
      <c r="C50" s="217"/>
      <c r="D50" s="217"/>
      <c r="E50" s="217"/>
      <c r="F50" s="217"/>
      <c r="G50" s="217"/>
      <c r="H50" s="217"/>
      <c r="I50" s="217"/>
      <c r="J50" s="217"/>
    </row>
    <row r="51" spans="1:10" ht="20.25" x14ac:dyDescent="0.3">
      <c r="A51" s="249" t="s">
        <v>271</v>
      </c>
      <c r="B51" s="249"/>
      <c r="C51" s="249"/>
      <c r="D51" s="249"/>
      <c r="E51" s="249"/>
      <c r="F51" s="249"/>
      <c r="G51" s="249"/>
      <c r="H51" s="249"/>
      <c r="I51" s="208"/>
      <c r="J51" s="208"/>
    </row>
    <row r="52" spans="1:10" ht="20.25" x14ac:dyDescent="0.3">
      <c r="A52" s="209"/>
      <c r="B52" s="209"/>
      <c r="C52" s="210" t="str">
        <f>'Crop Comparison'!$C$4</f>
        <v>Corn</v>
      </c>
      <c r="D52" s="210" t="str">
        <f>'Crop Comparison'!$D$4</f>
        <v>Soybean</v>
      </c>
      <c r="E52" s="210" t="str">
        <f>'Crop Comparison'!$E$4</f>
        <v>Wheat</v>
      </c>
      <c r="F52" s="210" t="str">
        <f>'Crop Comparison'!$F$4</f>
        <v>Sorghum</v>
      </c>
      <c r="G52" s="210" t="str">
        <f>'Crop Comparison'!$G$4</f>
        <v>Cotton</v>
      </c>
      <c r="H52" s="210" t="str">
        <f>'Crop Comparison'!$H$4</f>
        <v>Peanuts</v>
      </c>
      <c r="I52" s="210" t="str">
        <f>'Crop Comparison'!$I$4</f>
        <v>Tobacco</v>
      </c>
      <c r="J52" s="210" t="str">
        <f>'Crop Comparison'!$J$4</f>
        <v>Sweet Potatoes</v>
      </c>
    </row>
    <row r="53" spans="1:10" ht="15.75" x14ac:dyDescent="0.25">
      <c r="A53" s="185" t="str">
        <f>A31</f>
        <v xml:space="preserve">  SEED or TRANSPLANTS</v>
      </c>
      <c r="B53" s="185"/>
      <c r="C53" s="186">
        <f t="shared" ref="C53:J53" si="3">IF(C31*(1+$C3)&gt;0, C31*(1+$C3), "-")</f>
        <v>79.680000000000007</v>
      </c>
      <c r="D53" s="186">
        <f t="shared" si="3"/>
        <v>44</v>
      </c>
      <c r="E53" s="186">
        <f t="shared" si="3"/>
        <v>45</v>
      </c>
      <c r="F53" s="186">
        <f t="shared" si="3"/>
        <v>15</v>
      </c>
      <c r="G53" s="186">
        <f t="shared" si="3"/>
        <v>88.61999999999999</v>
      </c>
      <c r="H53" s="186">
        <f t="shared" si="3"/>
        <v>106.25</v>
      </c>
      <c r="I53" s="186">
        <f t="shared" si="3"/>
        <v>240</v>
      </c>
      <c r="J53" s="186">
        <f t="shared" si="3"/>
        <v>500</v>
      </c>
    </row>
    <row r="54" spans="1:10" ht="15.75" x14ac:dyDescent="0.25">
      <c r="A54" s="185" t="str">
        <f>A32</f>
        <v xml:space="preserve">    NITROGEN 30%</v>
      </c>
      <c r="B54" s="185"/>
      <c r="C54" s="186">
        <f t="shared" ref="C54:C68" si="4">IF(C32="-","-",IF(C32*(1+B5)&gt;0,C32*(1+B5),"-"))</f>
        <v>122.38800000000001</v>
      </c>
      <c r="D54" s="186" t="str">
        <f t="shared" ref="D54:D68" si="5">IF(D32="-","-",IF(D32*(1+B5)&gt;0,D32*(1+B5),"-"))</f>
        <v>-</v>
      </c>
      <c r="E54" s="186">
        <f t="shared" ref="E54:E68" si="6">IF(E32="-","-",IF(E32*(1+B5)&gt;0,E32*(1+B5),"-"))</f>
        <v>92.129400000000018</v>
      </c>
      <c r="F54" s="186">
        <f t="shared" ref="F54:F68" si="7">IF(F32="-","-",IF(F32*(1+B5)&gt;0,F32*(1+B5),"-"))</f>
        <v>65.536799999999999</v>
      </c>
      <c r="G54" s="186">
        <f>IF(G32="-","-",IF(G32*(1+B5)&gt;0,G32*(1+B5),"-"))</f>
        <v>59.220000000000006</v>
      </c>
      <c r="H54" s="186" t="str">
        <f t="shared" ref="H54:H58" si="8">IF(H32="-","-",IF(H32*(1+B5)&gt;0,H32*(1+B5),"-"))</f>
        <v>-</v>
      </c>
      <c r="I54" s="186">
        <f>IF(I32="-","-",IF(I32*(1+B5)&gt;0,I32*(1+B5),"-"))</f>
        <v>91.65</v>
      </c>
      <c r="J54" s="186" t="str">
        <f>IF(J32="-","-",IF(J32*(1+B5)&gt;0,J32*(1+B5),"-"))</f>
        <v>-</v>
      </c>
    </row>
    <row r="55" spans="1:10" ht="15.75" x14ac:dyDescent="0.25">
      <c r="A55" s="184" t="s">
        <v>217</v>
      </c>
      <c r="B55" s="185"/>
      <c r="C55" s="186" t="str">
        <f t="shared" si="4"/>
        <v>-</v>
      </c>
      <c r="D55" s="186" t="str">
        <f t="shared" si="5"/>
        <v>-</v>
      </c>
      <c r="E55" s="186" t="str">
        <f t="shared" si="6"/>
        <v>-</v>
      </c>
      <c r="F55" s="186" t="str">
        <f t="shared" si="7"/>
        <v>-</v>
      </c>
      <c r="G55" s="186" t="str">
        <f t="shared" ref="G55:G68" si="9">IF(G33="-","-",IF(G33*(1+B6)&gt;0,G33*(1+B6),"-"))</f>
        <v>-</v>
      </c>
      <c r="H55" s="186" t="str">
        <f t="shared" si="8"/>
        <v>-</v>
      </c>
      <c r="I55" s="186" t="str">
        <f t="shared" ref="I55:I68" si="10">IF(I33="-","-",IF(I33*(1+B6)&gt;0,I33*(1+B6),"-"))</f>
        <v>-</v>
      </c>
      <c r="J55" s="186">
        <f t="shared" ref="J55:J68" si="11">IF(J33="-","-",IF(J33*(1+B6)&gt;0,J33*(1+B6),"-"))</f>
        <v>121.6</v>
      </c>
    </row>
    <row r="56" spans="1:10" ht="15.75" x14ac:dyDescent="0.25">
      <c r="A56" s="185" t="str">
        <f>A34</f>
        <v xml:space="preserve">    DAP (18-46-0)</v>
      </c>
      <c r="B56" s="185"/>
      <c r="C56" s="186">
        <f t="shared" si="4"/>
        <v>88.424999999999997</v>
      </c>
      <c r="D56" s="186" t="str">
        <f t="shared" si="5"/>
        <v>-</v>
      </c>
      <c r="E56" s="186" t="str">
        <f t="shared" si="6"/>
        <v>-</v>
      </c>
      <c r="F56" s="186" t="str">
        <f t="shared" si="7"/>
        <v>-</v>
      </c>
      <c r="G56" s="186">
        <f t="shared" si="9"/>
        <v>65.5</v>
      </c>
      <c r="H56" s="186" t="str">
        <f t="shared" si="8"/>
        <v>-</v>
      </c>
      <c r="I56" s="186" t="str">
        <f t="shared" si="10"/>
        <v>-</v>
      </c>
      <c r="J56" s="186" t="str">
        <f t="shared" si="11"/>
        <v>-</v>
      </c>
    </row>
    <row r="57" spans="1:10" ht="15.75" x14ac:dyDescent="0.25">
      <c r="A57" s="13" t="s">
        <v>179</v>
      </c>
      <c r="B57" s="185"/>
      <c r="C57" s="186" t="str">
        <f t="shared" si="4"/>
        <v>-</v>
      </c>
      <c r="D57" s="186" t="str">
        <f t="shared" si="5"/>
        <v>-</v>
      </c>
      <c r="E57" s="186" t="str">
        <f t="shared" si="6"/>
        <v>-</v>
      </c>
      <c r="F57" s="186" t="str">
        <f t="shared" si="7"/>
        <v>-</v>
      </c>
      <c r="G57" s="186" t="str">
        <f t="shared" si="9"/>
        <v>-</v>
      </c>
      <c r="H57" s="186" t="str">
        <f t="shared" si="8"/>
        <v>-</v>
      </c>
      <c r="I57" s="186">
        <f t="shared" si="10"/>
        <v>174.24</v>
      </c>
      <c r="J57" s="186" t="str">
        <f t="shared" si="11"/>
        <v>-</v>
      </c>
    </row>
    <row r="58" spans="1:10" ht="15.75" x14ac:dyDescent="0.25">
      <c r="A58" s="13" t="s">
        <v>227</v>
      </c>
      <c r="B58" s="185"/>
      <c r="C58" s="186" t="str">
        <f t="shared" si="4"/>
        <v>-</v>
      </c>
      <c r="D58" s="186" t="str">
        <f t="shared" si="5"/>
        <v>-</v>
      </c>
      <c r="E58" s="186" t="str">
        <f t="shared" si="6"/>
        <v>-</v>
      </c>
      <c r="F58" s="186" t="str">
        <f t="shared" si="7"/>
        <v>-</v>
      </c>
      <c r="G58" s="186" t="str">
        <f t="shared" si="9"/>
        <v>-</v>
      </c>
      <c r="H58" s="186" t="str">
        <f t="shared" si="8"/>
        <v>-</v>
      </c>
      <c r="I58" s="186">
        <f t="shared" si="10"/>
        <v>211.9384</v>
      </c>
      <c r="J58" s="186" t="str">
        <f t="shared" si="11"/>
        <v>-</v>
      </c>
    </row>
    <row r="59" spans="1:10" ht="15.75" x14ac:dyDescent="0.25">
      <c r="A59" s="185" t="str">
        <f>A37</f>
        <v xml:space="preserve">    PHOSPHATE (0-46-0)</v>
      </c>
      <c r="B59" s="185"/>
      <c r="C59" s="186" t="str">
        <f t="shared" si="4"/>
        <v>-</v>
      </c>
      <c r="D59" s="186">
        <f t="shared" si="5"/>
        <v>40.883399999999995</v>
      </c>
      <c r="E59" s="186">
        <f t="shared" si="6"/>
        <v>35.775799999999997</v>
      </c>
      <c r="F59" s="186">
        <f t="shared" si="7"/>
        <v>41.380599999999994</v>
      </c>
      <c r="G59" s="186" t="str">
        <f t="shared" si="9"/>
        <v>-</v>
      </c>
      <c r="H59" s="186">
        <f>IF(H37="-","-",IF(H37*(1+B10)&gt;0,H37*(1+B10),"-"))</f>
        <v>28.204799999999999</v>
      </c>
      <c r="I59" s="186" t="str">
        <f t="shared" si="10"/>
        <v>-</v>
      </c>
      <c r="J59" s="186">
        <f t="shared" si="11"/>
        <v>33.786999999999992</v>
      </c>
    </row>
    <row r="60" spans="1:10" ht="15.75" x14ac:dyDescent="0.25">
      <c r="A60" s="185" t="str">
        <f>A38</f>
        <v xml:space="preserve">    POTASH (0-0-60)</v>
      </c>
      <c r="B60" s="185"/>
      <c r="C60" s="186">
        <f t="shared" si="4"/>
        <v>38.177999999999997</v>
      </c>
      <c r="D60" s="186">
        <f t="shared" si="5"/>
        <v>62.78159999999999</v>
      </c>
      <c r="E60" s="186">
        <f t="shared" si="6"/>
        <v>22.270499999999998</v>
      </c>
      <c r="F60" s="186">
        <f t="shared" si="7"/>
        <v>19.088999999999999</v>
      </c>
      <c r="G60" s="186">
        <f t="shared" si="9"/>
        <v>31.814999999999998</v>
      </c>
      <c r="H60" s="186">
        <f t="shared" ref="H60:H68" si="12">IF(H38="-","-",IF(H38*(1+B11)&gt;0,H38*(1+B11),"-"))</f>
        <v>63.629999999999995</v>
      </c>
      <c r="I60" s="186" t="str">
        <f t="shared" si="10"/>
        <v>-</v>
      </c>
      <c r="J60" s="186">
        <f t="shared" si="11"/>
        <v>101.80799999999999</v>
      </c>
    </row>
    <row r="61" spans="1:10" ht="15.75" x14ac:dyDescent="0.25">
      <c r="A61" s="185" t="str">
        <f>A39</f>
        <v xml:space="preserve">  LIME (PRORATED)</v>
      </c>
      <c r="B61" s="185"/>
      <c r="C61" s="186">
        <f t="shared" si="4"/>
        <v>35.979999999999997</v>
      </c>
      <c r="D61" s="186">
        <f t="shared" si="5"/>
        <v>35.979999999999997</v>
      </c>
      <c r="E61" s="186">
        <f t="shared" si="6"/>
        <v>35.979999999999997</v>
      </c>
      <c r="F61" s="186">
        <f t="shared" si="7"/>
        <v>35.979999999999997</v>
      </c>
      <c r="G61" s="186">
        <f t="shared" si="9"/>
        <v>35.979999999999997</v>
      </c>
      <c r="H61" s="186">
        <f t="shared" si="12"/>
        <v>35.979999999999997</v>
      </c>
      <c r="I61" s="186">
        <f t="shared" si="10"/>
        <v>35.979999999999997</v>
      </c>
      <c r="J61" s="186">
        <f t="shared" si="11"/>
        <v>35.979999999999997</v>
      </c>
    </row>
    <row r="62" spans="1:10" ht="15.75" x14ac:dyDescent="0.25">
      <c r="A62" s="185" t="str">
        <f>A40</f>
        <v xml:space="preserve">  HERBICIDES</v>
      </c>
      <c r="B62" s="185"/>
      <c r="C62" s="186">
        <f t="shared" si="4"/>
        <v>71.984000000000009</v>
      </c>
      <c r="D62" s="186">
        <f t="shared" si="5"/>
        <v>69.498000000000005</v>
      </c>
      <c r="E62" s="186">
        <f t="shared" si="6"/>
        <v>25.102000000000004</v>
      </c>
      <c r="F62" s="186">
        <f t="shared" si="7"/>
        <v>42.746000000000002</v>
      </c>
      <c r="G62" s="186">
        <f t="shared" si="9"/>
        <v>138.75400000000002</v>
      </c>
      <c r="H62" s="186">
        <f t="shared" si="12"/>
        <v>112.28800000000001</v>
      </c>
      <c r="I62" s="186">
        <f t="shared" si="10"/>
        <v>119.702</v>
      </c>
      <c r="J62" s="186">
        <f t="shared" si="11"/>
        <v>112.2</v>
      </c>
    </row>
    <row r="63" spans="1:10" ht="15.75" x14ac:dyDescent="0.25">
      <c r="A63" s="13" t="s">
        <v>218</v>
      </c>
      <c r="B63" s="185"/>
      <c r="C63" s="186" t="str">
        <f t="shared" si="4"/>
        <v>-</v>
      </c>
      <c r="D63" s="186" t="str">
        <f t="shared" si="5"/>
        <v>-</v>
      </c>
      <c r="E63" s="186">
        <f t="shared" si="6"/>
        <v>15.532</v>
      </c>
      <c r="F63" s="186" t="str">
        <f t="shared" si="7"/>
        <v>-</v>
      </c>
      <c r="G63" s="186" t="str">
        <f t="shared" si="9"/>
        <v>-</v>
      </c>
      <c r="H63" s="186">
        <f t="shared" si="12"/>
        <v>169.86199999999999</v>
      </c>
      <c r="I63" s="186">
        <f t="shared" si="10"/>
        <v>230.494</v>
      </c>
      <c r="J63" s="186" t="str">
        <f t="shared" si="11"/>
        <v>-</v>
      </c>
    </row>
    <row r="64" spans="1:10" ht="15.75" x14ac:dyDescent="0.25">
      <c r="A64" s="13" t="s">
        <v>34</v>
      </c>
      <c r="B64" s="185"/>
      <c r="C64" s="186" t="str">
        <f t="shared" si="4"/>
        <v>-</v>
      </c>
      <c r="D64" s="186" t="str">
        <f t="shared" si="5"/>
        <v>-</v>
      </c>
      <c r="E64" s="186" t="str">
        <f t="shared" si="6"/>
        <v>-</v>
      </c>
      <c r="F64" s="186" t="str">
        <f t="shared" si="7"/>
        <v>-</v>
      </c>
      <c r="G64" s="186" t="str">
        <f t="shared" si="9"/>
        <v>-</v>
      </c>
      <c r="H64" s="186" t="str">
        <f t="shared" si="12"/>
        <v>-</v>
      </c>
      <c r="I64" s="186" t="str">
        <f t="shared" si="10"/>
        <v>-</v>
      </c>
      <c r="J64" s="186">
        <f t="shared" si="11"/>
        <v>119.108</v>
      </c>
    </row>
    <row r="65" spans="1:10" ht="15.75" x14ac:dyDescent="0.25">
      <c r="A65" s="185" t="str">
        <f t="shared" ref="A65" si="13">A43</f>
        <v xml:space="preserve">  INSECTICIDES</v>
      </c>
      <c r="B65" s="185"/>
      <c r="C65" s="186" t="str">
        <f t="shared" si="4"/>
        <v>-</v>
      </c>
      <c r="D65" s="186" t="str">
        <f t="shared" si="5"/>
        <v>-</v>
      </c>
      <c r="E65" s="186">
        <f t="shared" si="6"/>
        <v>8.2060000000000013</v>
      </c>
      <c r="F65" s="186">
        <f t="shared" si="7"/>
        <v>11.374000000000001</v>
      </c>
      <c r="G65" s="186">
        <f t="shared" si="9"/>
        <v>80.388000000000005</v>
      </c>
      <c r="H65" s="186">
        <f t="shared" si="12"/>
        <v>36.058000000000007</v>
      </c>
      <c r="I65" s="186">
        <f t="shared" si="10"/>
        <v>160.64400000000001</v>
      </c>
      <c r="J65" s="186">
        <f t="shared" si="11"/>
        <v>96.536000000000016</v>
      </c>
    </row>
    <row r="66" spans="1:10" ht="15.75" x14ac:dyDescent="0.25">
      <c r="A66" s="13" t="s">
        <v>180</v>
      </c>
      <c r="B66" s="185"/>
      <c r="C66" s="186" t="str">
        <f t="shared" si="4"/>
        <v>-</v>
      </c>
      <c r="D66" s="186" t="str">
        <f t="shared" si="5"/>
        <v>-</v>
      </c>
      <c r="E66" s="186" t="str">
        <f t="shared" si="6"/>
        <v>-</v>
      </c>
      <c r="F66" s="186" t="str">
        <f t="shared" si="7"/>
        <v>-</v>
      </c>
      <c r="G66" s="186" t="str">
        <f t="shared" si="9"/>
        <v>-</v>
      </c>
      <c r="H66" s="186" t="str">
        <f t="shared" si="12"/>
        <v>-</v>
      </c>
      <c r="I66" s="186">
        <f t="shared" si="10"/>
        <v>412.56600000000003</v>
      </c>
      <c r="J66" s="186" t="str">
        <f t="shared" si="11"/>
        <v>-</v>
      </c>
    </row>
    <row r="67" spans="1:10" ht="15.75" x14ac:dyDescent="0.25">
      <c r="A67" s="13" t="s">
        <v>38</v>
      </c>
      <c r="B67" s="185"/>
      <c r="C67" s="186" t="str">
        <f t="shared" si="4"/>
        <v>-</v>
      </c>
      <c r="D67" s="186" t="str">
        <f t="shared" si="5"/>
        <v>-</v>
      </c>
      <c r="E67" s="186" t="str">
        <f t="shared" si="6"/>
        <v>-</v>
      </c>
      <c r="F67" s="186" t="str">
        <f t="shared" si="7"/>
        <v>-</v>
      </c>
      <c r="G67" s="186">
        <f t="shared" si="9"/>
        <v>46.86</v>
      </c>
      <c r="H67" s="236">
        <f t="shared" si="12"/>
        <v>107.66800000000001</v>
      </c>
      <c r="I67" s="236" t="str">
        <f t="shared" si="10"/>
        <v>-</v>
      </c>
      <c r="J67" s="236" t="str">
        <f t="shared" si="11"/>
        <v>-</v>
      </c>
    </row>
    <row r="68" spans="1:10" ht="16.5" thickBot="1" x14ac:dyDescent="0.3">
      <c r="A68" s="226" t="s">
        <v>35</v>
      </c>
      <c r="B68" s="227"/>
      <c r="C68" s="228">
        <f t="shared" si="4"/>
        <v>7.1940000000000008</v>
      </c>
      <c r="D68" s="228">
        <f t="shared" si="5"/>
        <v>3.4760000000000004</v>
      </c>
      <c r="E68" s="228" t="str">
        <f t="shared" si="6"/>
        <v>-</v>
      </c>
      <c r="F68" s="228" t="str">
        <f t="shared" si="7"/>
        <v>-</v>
      </c>
      <c r="G68" s="228">
        <f t="shared" si="9"/>
        <v>13.332000000000001</v>
      </c>
      <c r="H68" s="228">
        <f t="shared" si="12"/>
        <v>21.295999999999999</v>
      </c>
      <c r="I68" s="228">
        <f t="shared" si="10"/>
        <v>46.177999999999997</v>
      </c>
      <c r="J68" s="228" t="str">
        <f t="shared" si="11"/>
        <v>-</v>
      </c>
    </row>
    <row r="69" spans="1:10" ht="16.5" thickTop="1" x14ac:dyDescent="0.25">
      <c r="A69" s="185"/>
      <c r="B69" s="185"/>
      <c r="C69" s="186"/>
      <c r="D69" s="186"/>
      <c r="E69" s="186"/>
      <c r="F69" s="186"/>
      <c r="G69" s="186"/>
      <c r="H69" s="186"/>
      <c r="I69" s="186"/>
      <c r="J69" s="186"/>
    </row>
    <row r="70" spans="1:10" ht="15.75" x14ac:dyDescent="0.25">
      <c r="A70" s="184" t="s">
        <v>267</v>
      </c>
      <c r="B70" s="184"/>
      <c r="C70" s="186">
        <f>SUM(C53:C65)</f>
        <v>436.63499999999999</v>
      </c>
      <c r="D70" s="186">
        <f t="shared" ref="D70:J70" si="14">SUM(D53:D65)</f>
        <v>253.14299999999997</v>
      </c>
      <c r="E70" s="186">
        <f t="shared" si="14"/>
        <v>279.9957</v>
      </c>
      <c r="F70" s="186">
        <f t="shared" si="14"/>
        <v>231.10639999999998</v>
      </c>
      <c r="G70" s="186">
        <f t="shared" si="14"/>
        <v>500.27700000000004</v>
      </c>
      <c r="H70" s="186">
        <f t="shared" si="14"/>
        <v>552.27279999999996</v>
      </c>
      <c r="I70" s="186">
        <f t="shared" si="14"/>
        <v>1264.6484</v>
      </c>
      <c r="J70" s="186">
        <f t="shared" si="14"/>
        <v>1121.0190000000002</v>
      </c>
    </row>
    <row r="71" spans="1:10" ht="15.75" x14ac:dyDescent="0.25">
      <c r="A71" s="184" t="s">
        <v>263</v>
      </c>
      <c r="B71" s="184"/>
      <c r="C71" s="187">
        <f>C70-C48</f>
        <v>213.22499999999997</v>
      </c>
      <c r="D71" s="187">
        <f t="shared" ref="D71:H71" si="15">D70-D48</f>
        <v>119.17299999999997</v>
      </c>
      <c r="E71" s="187">
        <f t="shared" si="15"/>
        <v>138.95570000000001</v>
      </c>
      <c r="F71" s="187">
        <f t="shared" si="15"/>
        <v>125.6664</v>
      </c>
      <c r="G71" s="187">
        <f t="shared" si="15"/>
        <v>210.197</v>
      </c>
      <c r="H71" s="187">
        <f t="shared" si="15"/>
        <v>191.29279999999994</v>
      </c>
      <c r="I71" s="187">
        <f t="shared" ref="I71" si="16">I70-I48</f>
        <v>341.39840000000004</v>
      </c>
      <c r="J71" s="187">
        <f t="shared" ref="J71" si="17">J70-J48</f>
        <v>344.65900000000022</v>
      </c>
    </row>
    <row r="72" spans="1:10" ht="15.75" x14ac:dyDescent="0.25">
      <c r="A72" s="184" t="s">
        <v>268</v>
      </c>
      <c r="B72" s="184"/>
      <c r="C72" s="188">
        <f>C70/C48</f>
        <v>1.9544111722841411</v>
      </c>
      <c r="D72" s="188">
        <f t="shared" ref="D72:J72" si="18">D70/D48</f>
        <v>1.889549899231171</v>
      </c>
      <c r="E72" s="188">
        <f t="shared" si="18"/>
        <v>1.9852219228587635</v>
      </c>
      <c r="F72" s="188">
        <f t="shared" si="18"/>
        <v>2.1918285280728376</v>
      </c>
      <c r="G72" s="188">
        <f t="shared" si="18"/>
        <v>1.7246173469387753</v>
      </c>
      <c r="H72" s="188">
        <f t="shared" si="18"/>
        <v>1.5299263117070196</v>
      </c>
      <c r="I72" s="188">
        <f t="shared" si="18"/>
        <v>1.3697789331167074</v>
      </c>
      <c r="J72" s="188">
        <f t="shared" si="18"/>
        <v>1.443942243289196</v>
      </c>
    </row>
    <row r="73" spans="1:10" ht="15.75" x14ac:dyDescent="0.25">
      <c r="A73" s="184"/>
      <c r="B73" s="184"/>
      <c r="C73" s="184"/>
      <c r="D73" s="184"/>
      <c r="E73" s="184"/>
      <c r="F73" s="184"/>
      <c r="G73" s="184"/>
      <c r="H73" s="184"/>
      <c r="I73" s="184"/>
      <c r="J73" s="184"/>
    </row>
    <row r="74" spans="1:10" ht="18" x14ac:dyDescent="0.25">
      <c r="A74" s="202" t="s">
        <v>265</v>
      </c>
      <c r="B74" s="202"/>
      <c r="C74" s="203">
        <f>C28-C71</f>
        <v>76.275000000000034</v>
      </c>
      <c r="D74" s="203">
        <f t="shared" ref="D74:H74" si="19">D28-D71</f>
        <v>254.74699999999999</v>
      </c>
      <c r="E74" s="203">
        <f t="shared" si="19"/>
        <v>-60.125700000000023</v>
      </c>
      <c r="F74" s="203">
        <f t="shared" si="19"/>
        <v>-109.11140000000005</v>
      </c>
      <c r="G74" s="203">
        <f t="shared" si="19"/>
        <v>180.19299999999998</v>
      </c>
      <c r="H74" s="203">
        <f t="shared" si="19"/>
        <v>-15.492800000000102</v>
      </c>
      <c r="I74" s="203"/>
      <c r="J74" s="203"/>
    </row>
    <row r="76" spans="1:10" ht="18" x14ac:dyDescent="0.25">
      <c r="A76" s="189" t="s">
        <v>266</v>
      </c>
      <c r="B76" s="189"/>
      <c r="C76" s="192">
        <f>C74-C28</f>
        <v>-213.22499999999997</v>
      </c>
      <c r="D76" s="192">
        <f t="shared" ref="D76:H76" si="20">D74-D28</f>
        <v>-119.17299999999997</v>
      </c>
      <c r="E76" s="192">
        <f t="shared" si="20"/>
        <v>-138.95570000000001</v>
      </c>
      <c r="F76" s="192">
        <f t="shared" si="20"/>
        <v>-125.6664</v>
      </c>
      <c r="G76" s="192">
        <f t="shared" si="20"/>
        <v>-210.197</v>
      </c>
      <c r="H76" s="192">
        <f t="shared" si="20"/>
        <v>-191.29279999999994</v>
      </c>
      <c r="I76" s="192"/>
      <c r="J76" s="192"/>
    </row>
    <row r="78" spans="1:10" x14ac:dyDescent="0.25">
      <c r="A78" s="39" t="s">
        <v>280</v>
      </c>
    </row>
    <row r="79" spans="1:10" x14ac:dyDescent="0.25">
      <c r="A79" s="39" t="s">
        <v>281</v>
      </c>
    </row>
    <row r="80" spans="1:10" x14ac:dyDescent="0.25">
      <c r="A80" s="39" t="s">
        <v>57</v>
      </c>
    </row>
    <row r="81" spans="1:1" x14ac:dyDescent="0.25">
      <c r="A81" s="39" t="s">
        <v>19</v>
      </c>
    </row>
  </sheetData>
  <mergeCells count="4">
    <mergeCell ref="A51:H51"/>
    <mergeCell ref="A1:H1"/>
    <mergeCell ref="A21:H21"/>
    <mergeCell ref="A30:H30"/>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35"/>
  <sheetViews>
    <sheetView topLeftCell="A7" zoomScale="120" zoomScaleNormal="120" workbookViewId="0">
      <selection activeCell="C5" sqref="C5"/>
    </sheetView>
  </sheetViews>
  <sheetFormatPr defaultColWidth="9.140625" defaultRowHeight="14.25" x14ac:dyDescent="0.2"/>
  <cols>
    <col min="1" max="1" width="9.140625" style="40"/>
    <col min="2" max="2" width="29.85546875" style="40" customWidth="1"/>
    <col min="3" max="3" width="14.140625" style="40" customWidth="1"/>
    <col min="4" max="5" width="17.5703125" style="40" customWidth="1"/>
    <col min="6" max="6" width="11.85546875" style="40" customWidth="1"/>
    <col min="7" max="7" width="18.140625" style="40" customWidth="1"/>
    <col min="8" max="11" width="14.140625" style="40" customWidth="1"/>
    <col min="12" max="12" width="18.85546875" style="40" customWidth="1"/>
    <col min="13" max="16384" width="9.140625" style="40"/>
  </cols>
  <sheetData>
    <row r="2" spans="2:11" ht="49.5" customHeight="1" x14ac:dyDescent="0.6">
      <c r="B2" s="151" t="s">
        <v>63</v>
      </c>
      <c r="C2" s="147"/>
      <c r="D2" s="147"/>
      <c r="E2" s="147"/>
      <c r="F2" s="147"/>
      <c r="G2" s="147"/>
      <c r="H2" s="148"/>
      <c r="I2" s="148"/>
      <c r="J2" s="148"/>
      <c r="K2" s="148"/>
    </row>
    <row r="3" spans="2:11" ht="24.75" customHeight="1" x14ac:dyDescent="0.55000000000000004">
      <c r="B3" s="150"/>
      <c r="C3" s="147"/>
      <c r="D3" s="147"/>
      <c r="E3" s="147"/>
      <c r="F3" s="147"/>
      <c r="G3" s="147"/>
      <c r="H3" s="148"/>
      <c r="I3" s="148"/>
      <c r="J3" s="148"/>
      <c r="K3" s="148"/>
    </row>
    <row r="4" spans="2:11" ht="88.15" customHeight="1" x14ac:dyDescent="0.25">
      <c r="B4" s="46"/>
      <c r="C4" s="47" t="s">
        <v>186</v>
      </c>
      <c r="D4" s="47" t="s">
        <v>44</v>
      </c>
      <c r="E4" s="47" t="s">
        <v>187</v>
      </c>
      <c r="F4" s="47" t="s">
        <v>43</v>
      </c>
      <c r="G4" s="57"/>
      <c r="H4" s="47" t="s">
        <v>188</v>
      </c>
      <c r="I4" s="47" t="s">
        <v>45</v>
      </c>
      <c r="J4" s="47" t="s">
        <v>224</v>
      </c>
      <c r="K4" s="47" t="s">
        <v>46</v>
      </c>
    </row>
    <row r="5" spans="2:11" s="42" customFormat="1" ht="19.149999999999999" customHeight="1" x14ac:dyDescent="0.25">
      <c r="B5" s="48" t="s">
        <v>0</v>
      </c>
      <c r="C5" s="49">
        <f>'Crop Comparison'!C59</f>
        <v>510.55</v>
      </c>
      <c r="D5" s="50">
        <f>$C$5/'Crop Comparison'!C6</f>
        <v>3.6467857142857145</v>
      </c>
      <c r="E5" s="49">
        <f>'Crop Comparison'!C66</f>
        <v>560.29999999999995</v>
      </c>
      <c r="F5" s="49">
        <f>E5/'Crop Comparison'!C6</f>
        <v>4.0021428571428572</v>
      </c>
      <c r="G5" s="57"/>
      <c r="H5" s="51">
        <f>'Crop Comparison'!C60</f>
        <v>339.24999999999994</v>
      </c>
      <c r="I5" s="152">
        <f>H5/'Crop Comparison'!C6</f>
        <v>2.4232142857142853</v>
      </c>
      <c r="J5" s="51">
        <f>'Crop Comparison'!C67</f>
        <v>289.5</v>
      </c>
      <c r="K5" s="115">
        <f>J5/'Crop Comparison'!C6</f>
        <v>2.0678571428571431</v>
      </c>
    </row>
    <row r="6" spans="2:11" ht="19.149999999999999" customHeight="1" x14ac:dyDescent="0.25">
      <c r="B6" s="48" t="s">
        <v>20</v>
      </c>
      <c r="C6" s="49">
        <f>'Crop Comparison'!D59</f>
        <v>322.01000000000005</v>
      </c>
      <c r="D6" s="50">
        <f>$C$6/'Crop Comparison'!D6</f>
        <v>5.366833333333334</v>
      </c>
      <c r="E6" s="49">
        <f>'Crop Comparison'!D66</f>
        <v>376.68000000000006</v>
      </c>
      <c r="F6" s="49">
        <f>E6/'Crop Comparison'!D6</f>
        <v>6.2780000000000014</v>
      </c>
      <c r="G6" s="57"/>
      <c r="H6" s="51">
        <f>'Crop Comparison'!D60</f>
        <v>428.59</v>
      </c>
      <c r="I6" s="49">
        <f>H6/'Crop Comparison'!D6</f>
        <v>7.1431666666666667</v>
      </c>
      <c r="J6" s="51">
        <f>'Crop Comparison'!D67</f>
        <v>373.91999999999996</v>
      </c>
      <c r="K6" s="115">
        <f>J6/'Crop Comparison'!D6</f>
        <v>6.2319999999999993</v>
      </c>
    </row>
    <row r="7" spans="2:11" ht="19.149999999999999" customHeight="1" x14ac:dyDescent="0.25">
      <c r="B7" s="48" t="s">
        <v>2</v>
      </c>
      <c r="C7" s="49">
        <f>'Crop Comparison'!E59</f>
        <v>320.06</v>
      </c>
      <c r="D7" s="50">
        <f>$C$7/'Crop Comparison'!E6</f>
        <v>4.5722857142857141</v>
      </c>
      <c r="E7" s="49">
        <f>'Crop Comparison'!E66</f>
        <v>362.17</v>
      </c>
      <c r="F7" s="49">
        <f>E7/'Crop Comparison'!E6</f>
        <v>5.1738571428571429</v>
      </c>
      <c r="G7" s="57"/>
      <c r="H7" s="51">
        <f>'Crop Comparison'!E60</f>
        <v>120.94</v>
      </c>
      <c r="I7" s="49">
        <f>H7/'Crop Comparison'!E6</f>
        <v>1.7277142857142858</v>
      </c>
      <c r="J7" s="51">
        <f>'Crop Comparison'!E67</f>
        <v>78.829999999999984</v>
      </c>
      <c r="K7" s="115">
        <f>J7/'Crop Comparison'!E6</f>
        <v>1.1261428571428569</v>
      </c>
    </row>
    <row r="8" spans="2:11" ht="19.149999999999999" customHeight="1" x14ac:dyDescent="0.25">
      <c r="B8" s="48" t="s">
        <v>21</v>
      </c>
      <c r="C8" s="49">
        <f>'Crop Comparison'!F59</f>
        <v>299.18</v>
      </c>
      <c r="D8" s="50">
        <f>$C$8/'Crop Comparison'!F6</f>
        <v>4.6027692307692307</v>
      </c>
      <c r="E8" s="49">
        <f>'Crop Comparison'!F66</f>
        <v>361.03000000000003</v>
      </c>
      <c r="F8" s="49">
        <f>E8/'Crop Comparison'!F6</f>
        <v>5.5543076923076926</v>
      </c>
      <c r="G8" s="57"/>
      <c r="H8" s="51">
        <f>'Crop Comparison'!F60</f>
        <v>78.404999999999973</v>
      </c>
      <c r="I8" s="49">
        <f>H8/'Crop Comparison'!F6</f>
        <v>1.2062307692307688</v>
      </c>
      <c r="J8" s="51">
        <f>'Crop Comparison'!F67</f>
        <v>16.55499999999995</v>
      </c>
      <c r="K8" s="115">
        <f>J8/'Crop Comparison'!G7</f>
        <v>1.3795833333333292E-2</v>
      </c>
    </row>
    <row r="9" spans="2:11" ht="19.149999999999999" customHeight="1" x14ac:dyDescent="0.25">
      <c r="B9" s="48" t="s">
        <v>163</v>
      </c>
      <c r="C9" s="49">
        <f>'Crop Comparison'!I59</f>
        <v>3120.61</v>
      </c>
      <c r="D9" s="50">
        <f>C9/'Crop Comparison'!I7</f>
        <v>1.4184590909090911</v>
      </c>
      <c r="E9" s="49">
        <f>'Crop Comparison'!I66</f>
        <v>3835.3100000000004</v>
      </c>
      <c r="F9" s="49">
        <f>E9/'Crop Comparison'!I7</f>
        <v>1.7433227272727274</v>
      </c>
      <c r="G9" s="57"/>
      <c r="H9" s="51">
        <f>'Crop Comparison'!I60</f>
        <v>1059.3899999999999</v>
      </c>
      <c r="I9" s="49">
        <f>H9/'Crop Comparison'!I7</f>
        <v>0.48154090909090902</v>
      </c>
      <c r="J9" s="51">
        <f>'Crop Comparison'!I67</f>
        <v>344.6899999999996</v>
      </c>
      <c r="K9" s="115">
        <f>J9/'Crop Comparison'!I7</f>
        <v>0.15667727272727255</v>
      </c>
    </row>
    <row r="10" spans="2:11" ht="19.149999999999999" customHeight="1" x14ac:dyDescent="0.25">
      <c r="B10" s="48" t="s">
        <v>216</v>
      </c>
      <c r="C10" s="49">
        <f>'Crop Comparison'!J59</f>
        <v>2589.34</v>
      </c>
      <c r="D10" s="50">
        <f>C10/'Crop Comparison'!J6</f>
        <v>6.4733499999999999</v>
      </c>
      <c r="E10" s="172">
        <f>'Crop Comparison'!J66</f>
        <v>2677.8700000000003</v>
      </c>
      <c r="F10" s="49">
        <f>E10/'Crop Comparison'!J6</f>
        <v>6.694675000000001</v>
      </c>
      <c r="G10" s="57"/>
      <c r="H10" s="51">
        <f>'Crop Comparison'!J60</f>
        <v>1010.6599999999999</v>
      </c>
      <c r="I10" s="49">
        <f>H10/'Crop Comparison'!J6</f>
        <v>2.5266499999999996</v>
      </c>
      <c r="J10" s="173">
        <f>'Crop Comparison'!J67</f>
        <v>922.12999999999965</v>
      </c>
      <c r="K10" s="115">
        <f>J10/'Crop Comparison'!J6</f>
        <v>2.305324999999999</v>
      </c>
    </row>
    <row r="11" spans="2:11" ht="19.149999999999999" customHeight="1" x14ac:dyDescent="0.25">
      <c r="B11" s="48" t="s">
        <v>167</v>
      </c>
      <c r="C11" s="49">
        <f>'Crop Comparison'!H59</f>
        <v>800.87000000000012</v>
      </c>
      <c r="D11" s="50">
        <f>C11/'Crop Comparison'!H7</f>
        <v>0.16017400000000001</v>
      </c>
      <c r="E11" s="49">
        <f>'Crop Comparison'!H66</f>
        <v>924.20000000000016</v>
      </c>
      <c r="F11" s="49">
        <f>E11/'Crop Comparison'!H7</f>
        <v>0.18484000000000003</v>
      </c>
      <c r="G11" s="57"/>
      <c r="H11" s="51">
        <f>'Crop Comparison'!H60</f>
        <v>299.12999999999988</v>
      </c>
      <c r="I11" s="49">
        <f>H11/'Crop Comparison'!H7</f>
        <v>5.9825999999999976E-2</v>
      </c>
      <c r="J11" s="51">
        <f>'Crop Comparison'!H67</f>
        <v>175.79999999999984</v>
      </c>
      <c r="K11" s="115">
        <f>J11/'Crop Comparison'!H7</f>
        <v>3.5159999999999969E-2</v>
      </c>
    </row>
    <row r="12" spans="2:11" ht="19.149999999999999" customHeight="1" x14ac:dyDescent="0.25">
      <c r="B12" s="53" t="s">
        <v>58</v>
      </c>
      <c r="C12" s="54">
        <f>'Crop Comparison'!G59</f>
        <v>677.45999999999992</v>
      </c>
      <c r="D12" s="55">
        <f>$C$12/'Crop Comparison'!G7</f>
        <v>0.56454999999999989</v>
      </c>
      <c r="E12" s="162">
        <f>'Crop Comparison'!G66</f>
        <v>795.20999999999992</v>
      </c>
      <c r="F12" s="54">
        <f>E12/'Crop Comparison'!G7</f>
        <v>0.6626749999999999</v>
      </c>
      <c r="G12" s="57"/>
      <c r="H12" s="153">
        <f>'Crop Comparison'!G60</f>
        <v>508.14</v>
      </c>
      <c r="I12" s="54">
        <f>H12/'Crop Comparison'!G7</f>
        <v>0.42344999999999999</v>
      </c>
      <c r="J12" s="153">
        <f>'Crop Comparison'!G67</f>
        <v>390.39</v>
      </c>
      <c r="K12" s="154">
        <f>J12/'Crop Comparison'!G7</f>
        <v>0.32532499999999998</v>
      </c>
    </row>
    <row r="13" spans="2:11" ht="30" customHeight="1" x14ac:dyDescent="0.55000000000000004">
      <c r="B13" s="252" t="s">
        <v>52</v>
      </c>
      <c r="C13" s="252"/>
      <c r="D13" s="252"/>
      <c r="E13" s="252"/>
      <c r="F13" s="252"/>
      <c r="G13" s="147"/>
      <c r="H13" s="148"/>
      <c r="I13" s="146"/>
      <c r="J13" s="149" t="s">
        <v>200</v>
      </c>
      <c r="K13" s="148">
        <f>IF(C26=0,0,J26/($C$26+$C$19))</f>
        <v>70.273499999999999</v>
      </c>
    </row>
    <row r="14" spans="2:11" ht="24" customHeight="1" x14ac:dyDescent="0.55000000000000004">
      <c r="B14" s="252"/>
      <c r="C14" s="252"/>
      <c r="D14" s="252"/>
      <c r="E14" s="252"/>
      <c r="F14" s="252"/>
      <c r="G14" s="147"/>
      <c r="H14" s="148"/>
      <c r="I14" s="146"/>
      <c r="J14" s="149" t="s">
        <v>199</v>
      </c>
      <c r="K14" s="148">
        <f>IF(C26=0,0,I26/($C$26+$C$19))</f>
        <v>0</v>
      </c>
    </row>
    <row r="15" spans="2:11" ht="27.6" customHeight="1" x14ac:dyDescent="0.55000000000000004">
      <c r="B15" s="150" t="s">
        <v>194</v>
      </c>
      <c r="C15" s="147"/>
      <c r="D15" s="147"/>
      <c r="E15" s="147"/>
      <c r="F15" s="147"/>
      <c r="G15" s="147"/>
      <c r="H15" s="148"/>
      <c r="I15" s="146"/>
      <c r="J15" s="149" t="s">
        <v>193</v>
      </c>
      <c r="K15" s="132">
        <v>0.15</v>
      </c>
    </row>
    <row r="16" spans="2:11" ht="116.65" customHeight="1" thickBot="1" x14ac:dyDescent="0.3">
      <c r="B16" s="19"/>
      <c r="C16" s="19"/>
      <c r="D16" s="47" t="s">
        <v>53</v>
      </c>
      <c r="E16" s="47" t="s">
        <v>54</v>
      </c>
      <c r="F16" s="129"/>
      <c r="G16" s="47" t="s">
        <v>195</v>
      </c>
      <c r="H16" s="47" t="s">
        <v>196</v>
      </c>
      <c r="I16" s="47" t="s">
        <v>214</v>
      </c>
      <c r="J16" s="47" t="s">
        <v>197</v>
      </c>
      <c r="K16" s="41" t="s">
        <v>198</v>
      </c>
    </row>
    <row r="17" spans="2:11" ht="18.600000000000001" customHeight="1" x14ac:dyDescent="0.25">
      <c r="B17" s="56" t="s">
        <v>47</v>
      </c>
      <c r="C17" s="58">
        <v>200</v>
      </c>
      <c r="D17" s="50">
        <f>C17*C5</f>
        <v>102110</v>
      </c>
      <c r="E17" s="52">
        <f>C17*E5</f>
        <v>112059.99999999999</v>
      </c>
      <c r="F17" s="123"/>
      <c r="G17" s="50">
        <f>C17*H5</f>
        <v>67849.999999999985</v>
      </c>
      <c r="H17" s="52">
        <f>C17*J5</f>
        <v>57900</v>
      </c>
      <c r="I17" s="133">
        <v>0</v>
      </c>
      <c r="J17" s="127">
        <f>C17*$K$13</f>
        <v>14054.699999999999</v>
      </c>
      <c r="K17" s="116">
        <f>H17+I17-J17</f>
        <v>43845.3</v>
      </c>
    </row>
    <row r="18" spans="2:11" ht="18.600000000000001" customHeight="1" x14ac:dyDescent="0.25">
      <c r="B18" s="56" t="s">
        <v>48</v>
      </c>
      <c r="C18" s="59">
        <v>200</v>
      </c>
      <c r="D18" s="50">
        <f>C18*C6</f>
        <v>64402.000000000007</v>
      </c>
      <c r="E18" s="52">
        <f>C18*E6</f>
        <v>75336.000000000015</v>
      </c>
      <c r="F18" s="123"/>
      <c r="G18" s="50">
        <f>C18*H6</f>
        <v>85718</v>
      </c>
      <c r="H18" s="52">
        <f>C18*J6</f>
        <v>74783.999999999985</v>
      </c>
      <c r="I18" s="134">
        <v>0</v>
      </c>
      <c r="J18" s="127">
        <f>C18*$K$13</f>
        <v>14054.699999999999</v>
      </c>
      <c r="K18" s="116">
        <f t="shared" ref="K18:K25" si="0">H18+I18-J18</f>
        <v>60729.299999999988</v>
      </c>
    </row>
    <row r="19" spans="2:11" ht="18.600000000000001" customHeight="1" x14ac:dyDescent="0.25">
      <c r="B19" s="56" t="s">
        <v>51</v>
      </c>
      <c r="C19" s="59">
        <v>0</v>
      </c>
      <c r="D19" s="50">
        <f>$C$19*$C$7-(('Crop Comparison'!E53+'Crop Comparison'!P64)*C19)</f>
        <v>0</v>
      </c>
      <c r="E19" s="52">
        <f>$C$19*$E$7-(('Crop Comparison'!E53+'Crop Comparison'!P64)*C19)</f>
        <v>0</v>
      </c>
      <c r="F19" s="123"/>
      <c r="G19" s="50">
        <f>$C$19*$H$7+(('Crop Comparison'!E53+'Crop Comparison'!P64)*C19)</f>
        <v>0</v>
      </c>
      <c r="H19" s="52">
        <f>C19*J7</f>
        <v>0</v>
      </c>
      <c r="I19" s="134">
        <v>0</v>
      </c>
      <c r="J19" s="127">
        <f t="shared" ref="J19:J25" si="1">C19*$K$13</f>
        <v>0</v>
      </c>
      <c r="K19" s="116">
        <f t="shared" si="0"/>
        <v>0</v>
      </c>
    </row>
    <row r="20" spans="2:11" ht="18.600000000000001" customHeight="1" x14ac:dyDescent="0.25">
      <c r="B20" s="56" t="s">
        <v>59</v>
      </c>
      <c r="C20" s="59">
        <v>0</v>
      </c>
      <c r="D20" s="50">
        <f>$C$20*$C$7</f>
        <v>0</v>
      </c>
      <c r="E20" s="52">
        <f>$C$20*$E$7</f>
        <v>0</v>
      </c>
      <c r="F20" s="123"/>
      <c r="G20" s="50">
        <f>$C$20*$H$7</f>
        <v>0</v>
      </c>
      <c r="H20" s="52">
        <f>C20*J7</f>
        <v>0</v>
      </c>
      <c r="I20" s="134">
        <v>0</v>
      </c>
      <c r="J20" s="127">
        <f t="shared" si="1"/>
        <v>0</v>
      </c>
      <c r="K20" s="116">
        <f t="shared" si="0"/>
        <v>0</v>
      </c>
    </row>
    <row r="21" spans="2:11" ht="18.600000000000001" customHeight="1" x14ac:dyDescent="0.25">
      <c r="B21" s="56" t="s">
        <v>49</v>
      </c>
      <c r="C21" s="59">
        <v>0</v>
      </c>
      <c r="D21" s="50">
        <f>C21*C8</f>
        <v>0</v>
      </c>
      <c r="E21" s="52">
        <f>C21*E8</f>
        <v>0</v>
      </c>
      <c r="F21" s="123"/>
      <c r="G21" s="50">
        <f>C21*H8</f>
        <v>0</v>
      </c>
      <c r="H21" s="52">
        <f>C21*J8</f>
        <v>0</v>
      </c>
      <c r="I21" s="134">
        <v>0</v>
      </c>
      <c r="J21" s="127">
        <f t="shared" si="1"/>
        <v>0</v>
      </c>
      <c r="K21" s="116">
        <f t="shared" si="0"/>
        <v>0</v>
      </c>
    </row>
    <row r="22" spans="2:11" ht="18.600000000000001" customHeight="1" x14ac:dyDescent="0.25">
      <c r="B22" s="56" t="s">
        <v>165</v>
      </c>
      <c r="C22" s="113">
        <v>0</v>
      </c>
      <c r="D22" s="116">
        <f>C11*$C$22</f>
        <v>0</v>
      </c>
      <c r="E22" s="116">
        <f>E11*$C$22</f>
        <v>0</v>
      </c>
      <c r="F22" s="123"/>
      <c r="G22" s="50">
        <f>C22*H11</f>
        <v>0</v>
      </c>
      <c r="H22" s="52">
        <f>C22*J11</f>
        <v>0</v>
      </c>
      <c r="I22" s="134">
        <v>0</v>
      </c>
      <c r="J22" s="127">
        <f t="shared" si="1"/>
        <v>0</v>
      </c>
      <c r="K22" s="116">
        <f t="shared" si="0"/>
        <v>0</v>
      </c>
    </row>
    <row r="23" spans="2:11" ht="18.600000000000001" customHeight="1" x14ac:dyDescent="0.25">
      <c r="B23" s="56" t="s">
        <v>166</v>
      </c>
      <c r="C23" s="113">
        <v>0</v>
      </c>
      <c r="D23" s="50">
        <f>C23*C9</f>
        <v>0</v>
      </c>
      <c r="E23" s="52">
        <f>C23*E9</f>
        <v>0</v>
      </c>
      <c r="F23" s="123"/>
      <c r="G23" s="50">
        <f>C23*H9</f>
        <v>0</v>
      </c>
      <c r="H23" s="52">
        <f>J9*C23</f>
        <v>0</v>
      </c>
      <c r="I23" s="134">
        <v>0</v>
      </c>
      <c r="J23" s="127">
        <f t="shared" si="1"/>
        <v>0</v>
      </c>
      <c r="K23" s="116">
        <f>H23+I23-J23</f>
        <v>0</v>
      </c>
    </row>
    <row r="24" spans="2:11" ht="18.600000000000001" customHeight="1" x14ac:dyDescent="0.25">
      <c r="B24" s="56" t="s">
        <v>216</v>
      </c>
      <c r="C24" s="113">
        <v>0</v>
      </c>
      <c r="D24" s="50">
        <f>C24*C10</f>
        <v>0</v>
      </c>
      <c r="E24" s="52">
        <f>C24*E10</f>
        <v>0</v>
      </c>
      <c r="F24" s="123"/>
      <c r="G24" s="50">
        <f>H10*C24</f>
        <v>0</v>
      </c>
      <c r="H24" s="52">
        <f>J10*C24</f>
        <v>0</v>
      </c>
      <c r="I24" s="134">
        <v>0</v>
      </c>
      <c r="J24" s="127">
        <f t="shared" si="1"/>
        <v>0</v>
      </c>
      <c r="K24" s="116">
        <f>H24+I24-J24</f>
        <v>0</v>
      </c>
    </row>
    <row r="25" spans="2:11" ht="18.600000000000001" customHeight="1" thickBot="1" x14ac:dyDescent="0.3">
      <c r="B25" s="56" t="s">
        <v>50</v>
      </c>
      <c r="C25" s="120">
        <v>0</v>
      </c>
      <c r="D25" s="121">
        <f>C25*C12</f>
        <v>0</v>
      </c>
      <c r="E25" s="119">
        <f>C25*E12</f>
        <v>0</v>
      </c>
      <c r="F25" s="124"/>
      <c r="G25" s="122">
        <f>C25*H12</f>
        <v>0</v>
      </c>
      <c r="H25" s="119">
        <f>C25*J12</f>
        <v>0</v>
      </c>
      <c r="I25" s="135">
        <v>0</v>
      </c>
      <c r="J25" s="128">
        <f t="shared" si="1"/>
        <v>0</v>
      </c>
      <c r="K25" s="130">
        <f t="shared" si="0"/>
        <v>0</v>
      </c>
    </row>
    <row r="26" spans="2:11" ht="19.350000000000001" customHeight="1" thickTop="1" x14ac:dyDescent="0.25">
      <c r="B26" s="56" t="s">
        <v>192</v>
      </c>
      <c r="C26" s="125">
        <f>SUM(C17:C18,C20:C25)</f>
        <v>400</v>
      </c>
      <c r="D26" s="52">
        <f>SUM(D17:D25)</f>
        <v>166512</v>
      </c>
      <c r="E26" s="52">
        <f>SUM(E17:E25)</f>
        <v>187396</v>
      </c>
      <c r="G26" s="52">
        <f>SUM(G17:G25)</f>
        <v>153568</v>
      </c>
      <c r="H26" s="52">
        <f>SUM(G17:G25)</f>
        <v>153568</v>
      </c>
      <c r="I26" s="52">
        <f>SUM(I17:I25)</f>
        <v>0</v>
      </c>
      <c r="J26" s="52">
        <f>E26*K15</f>
        <v>28109.399999999998</v>
      </c>
      <c r="K26" s="131">
        <f>SUM(K17:K25)</f>
        <v>104574.59999999999</v>
      </c>
    </row>
    <row r="30" spans="2:11" x14ac:dyDescent="0.2">
      <c r="C30" s="43"/>
      <c r="D30" s="44"/>
    </row>
    <row r="31" spans="2:11" x14ac:dyDescent="0.2">
      <c r="C31" s="43"/>
      <c r="D31" s="45"/>
    </row>
    <row r="35" spans="2:11" x14ac:dyDescent="0.2">
      <c r="B35" s="42"/>
      <c r="C35" s="42"/>
      <c r="D35" s="42"/>
      <c r="E35" s="42"/>
      <c r="F35" s="42"/>
      <c r="G35" s="42"/>
      <c r="H35" s="42"/>
      <c r="I35" s="42"/>
      <c r="J35" s="42"/>
      <c r="K35" s="42"/>
    </row>
  </sheetData>
  <mergeCells count="1">
    <mergeCell ref="B13:F1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4"/>
  <sheetViews>
    <sheetView workbookViewId="0">
      <selection activeCell="I30" sqref="I30"/>
    </sheetView>
  </sheetViews>
  <sheetFormatPr defaultRowHeight="15" x14ac:dyDescent="0.25"/>
  <cols>
    <col min="19" max="19" width="44.42578125" bestFit="1" customWidth="1"/>
  </cols>
  <sheetData>
    <row r="1" spans="1:20" ht="27" thickTop="1" x14ac:dyDescent="0.25">
      <c r="A1" s="3" t="s">
        <v>12</v>
      </c>
      <c r="B1" s="4" t="s">
        <v>0</v>
      </c>
      <c r="C1" s="4" t="s">
        <v>1</v>
      </c>
      <c r="D1" s="4" t="s">
        <v>2</v>
      </c>
      <c r="E1" s="4" t="s">
        <v>13</v>
      </c>
      <c r="F1" s="4" t="s">
        <v>162</v>
      </c>
      <c r="G1" s="6" t="s">
        <v>163</v>
      </c>
      <c r="H1" s="165" t="s">
        <v>216</v>
      </c>
      <c r="I1" s="14" t="s">
        <v>21</v>
      </c>
      <c r="N1" t="s">
        <v>229</v>
      </c>
    </row>
    <row r="2" spans="1:20" x14ac:dyDescent="0.25">
      <c r="A2" s="5"/>
      <c r="B2" s="6" t="s">
        <v>14</v>
      </c>
      <c r="C2" s="6" t="s">
        <v>14</v>
      </c>
      <c r="D2" s="6" t="s">
        <v>14</v>
      </c>
      <c r="E2" s="6" t="s">
        <v>14</v>
      </c>
      <c r="F2" s="6" t="s">
        <v>164</v>
      </c>
      <c r="G2" s="6" t="s">
        <v>164</v>
      </c>
      <c r="H2" s="6" t="s">
        <v>14</v>
      </c>
      <c r="I2" s="17" t="s">
        <v>14</v>
      </c>
      <c r="N2" t="s">
        <v>230</v>
      </c>
      <c r="O2" t="s">
        <v>12</v>
      </c>
      <c r="P2" t="s">
        <v>231</v>
      </c>
      <c r="Q2" t="s">
        <v>232</v>
      </c>
      <c r="R2" t="s">
        <v>233</v>
      </c>
      <c r="S2" t="s">
        <v>234</v>
      </c>
      <c r="T2" t="s">
        <v>235</v>
      </c>
    </row>
    <row r="3" spans="1:20" x14ac:dyDescent="0.25">
      <c r="A3" s="5">
        <v>2010</v>
      </c>
      <c r="B3" s="177">
        <v>91</v>
      </c>
      <c r="C3" s="177">
        <v>26</v>
      </c>
      <c r="D3" s="177">
        <v>38</v>
      </c>
      <c r="E3" s="177">
        <v>838</v>
      </c>
      <c r="F3" s="177">
        <v>2700</v>
      </c>
      <c r="G3" s="177">
        <v>2095</v>
      </c>
      <c r="H3">
        <f>H21/$H$20</f>
        <v>360</v>
      </c>
      <c r="I3" s="15"/>
      <c r="N3" t="s">
        <v>236</v>
      </c>
      <c r="O3">
        <v>2017</v>
      </c>
      <c r="P3" t="s">
        <v>237</v>
      </c>
      <c r="Q3" t="s">
        <v>238</v>
      </c>
      <c r="R3" t="s">
        <v>239</v>
      </c>
      <c r="S3" t="s">
        <v>240</v>
      </c>
      <c r="T3">
        <v>142</v>
      </c>
    </row>
    <row r="4" spans="1:20" x14ac:dyDescent="0.25">
      <c r="A4" s="5">
        <v>2011</v>
      </c>
      <c r="B4" s="177">
        <v>84</v>
      </c>
      <c r="C4" s="177">
        <v>30.5</v>
      </c>
      <c r="D4" s="177">
        <v>68</v>
      </c>
      <c r="E4" s="177">
        <v>616</v>
      </c>
      <c r="F4" s="177">
        <v>3600</v>
      </c>
      <c r="G4" s="177">
        <v>1550</v>
      </c>
      <c r="H4">
        <f t="shared" ref="H4:H12" si="0">H22/$H$20</f>
        <v>400</v>
      </c>
      <c r="I4" s="15"/>
      <c r="N4" t="s">
        <v>236</v>
      </c>
      <c r="O4">
        <v>2018</v>
      </c>
      <c r="P4" t="s">
        <v>237</v>
      </c>
      <c r="Q4" t="s">
        <v>238</v>
      </c>
      <c r="R4" t="s">
        <v>239</v>
      </c>
      <c r="S4" t="s">
        <v>240</v>
      </c>
      <c r="T4">
        <v>113</v>
      </c>
    </row>
    <row r="5" spans="1:20" x14ac:dyDescent="0.25">
      <c r="A5" s="5">
        <v>2012</v>
      </c>
      <c r="B5" s="177">
        <v>117</v>
      </c>
      <c r="C5" s="177">
        <v>39.5</v>
      </c>
      <c r="D5" s="177">
        <v>57</v>
      </c>
      <c r="E5" s="177">
        <v>1014</v>
      </c>
      <c r="F5" s="177">
        <v>4030</v>
      </c>
      <c r="G5" s="177">
        <v>2295</v>
      </c>
      <c r="H5">
        <f t="shared" si="0"/>
        <v>400</v>
      </c>
      <c r="I5" s="15"/>
      <c r="N5" t="s">
        <v>236</v>
      </c>
      <c r="O5">
        <v>2019</v>
      </c>
      <c r="P5" t="s">
        <v>237</v>
      </c>
      <c r="Q5" t="s">
        <v>238</v>
      </c>
      <c r="R5" t="s">
        <v>239</v>
      </c>
      <c r="S5" t="s">
        <v>240</v>
      </c>
      <c r="T5">
        <v>111</v>
      </c>
    </row>
    <row r="6" spans="1:20" x14ac:dyDescent="0.25">
      <c r="A6" s="5">
        <v>2013</v>
      </c>
      <c r="B6" s="177">
        <v>142</v>
      </c>
      <c r="C6" s="177">
        <v>33.5</v>
      </c>
      <c r="D6" s="177">
        <v>57</v>
      </c>
      <c r="E6" s="177">
        <v>799</v>
      </c>
      <c r="F6" s="177">
        <v>3900</v>
      </c>
      <c r="G6" s="177">
        <v>1994</v>
      </c>
      <c r="H6">
        <f t="shared" si="0"/>
        <v>400</v>
      </c>
      <c r="I6" s="15"/>
      <c r="N6" t="s">
        <v>236</v>
      </c>
      <c r="O6">
        <v>2020</v>
      </c>
      <c r="P6" t="s">
        <v>237</v>
      </c>
      <c r="Q6" t="s">
        <v>238</v>
      </c>
      <c r="R6" t="s">
        <v>239</v>
      </c>
      <c r="S6" t="s">
        <v>240</v>
      </c>
      <c r="T6">
        <v>113</v>
      </c>
    </row>
    <row r="7" spans="1:20" x14ac:dyDescent="0.25">
      <c r="A7" s="5">
        <v>2014</v>
      </c>
      <c r="B7" s="177">
        <v>132</v>
      </c>
      <c r="C7" s="177">
        <v>40</v>
      </c>
      <c r="D7" s="177">
        <v>58</v>
      </c>
      <c r="E7" s="178">
        <v>1038</v>
      </c>
      <c r="F7" s="178">
        <v>4320</v>
      </c>
      <c r="G7" s="178">
        <v>2347</v>
      </c>
      <c r="H7">
        <f t="shared" si="0"/>
        <v>440</v>
      </c>
      <c r="I7" s="15"/>
      <c r="N7" t="s">
        <v>236</v>
      </c>
      <c r="O7">
        <v>2021</v>
      </c>
      <c r="P7" t="s">
        <v>237</v>
      </c>
      <c r="Q7" t="s">
        <v>238</v>
      </c>
      <c r="R7" t="s">
        <v>239</v>
      </c>
      <c r="S7" t="s">
        <v>240</v>
      </c>
      <c r="T7">
        <v>146</v>
      </c>
    </row>
    <row r="8" spans="1:20" x14ac:dyDescent="0.25">
      <c r="A8" s="5">
        <v>2015</v>
      </c>
      <c r="B8" s="179">
        <v>113</v>
      </c>
      <c r="C8" s="179">
        <v>32</v>
      </c>
      <c r="D8" s="179">
        <v>53</v>
      </c>
      <c r="E8" s="178">
        <v>713</v>
      </c>
      <c r="F8" s="178">
        <v>3480</v>
      </c>
      <c r="G8" s="180">
        <v>2198</v>
      </c>
      <c r="H8">
        <f t="shared" si="0"/>
        <v>380</v>
      </c>
      <c r="I8" s="15"/>
      <c r="N8" t="s">
        <v>236</v>
      </c>
      <c r="O8">
        <v>2017</v>
      </c>
      <c r="P8" t="s">
        <v>237</v>
      </c>
      <c r="Q8" t="s">
        <v>238</v>
      </c>
      <c r="R8" t="s">
        <v>241</v>
      </c>
      <c r="S8" t="s">
        <v>242</v>
      </c>
      <c r="T8">
        <v>969</v>
      </c>
    </row>
    <row r="9" spans="1:20" x14ac:dyDescent="0.25">
      <c r="A9" s="5">
        <v>2016</v>
      </c>
      <c r="B9" s="179">
        <v>129</v>
      </c>
      <c r="C9" s="179">
        <v>35</v>
      </c>
      <c r="D9" s="179">
        <v>41</v>
      </c>
      <c r="E9" s="178">
        <v>646</v>
      </c>
      <c r="F9" s="178">
        <v>3530</v>
      </c>
      <c r="G9" s="180">
        <v>1999</v>
      </c>
      <c r="H9">
        <f t="shared" si="0"/>
        <v>360</v>
      </c>
      <c r="I9" s="15">
        <v>55</v>
      </c>
      <c r="N9" t="s">
        <v>236</v>
      </c>
      <c r="O9">
        <v>2018</v>
      </c>
      <c r="P9" t="s">
        <v>237</v>
      </c>
      <c r="Q9" t="s">
        <v>238</v>
      </c>
      <c r="R9" t="s">
        <v>241</v>
      </c>
      <c r="S9" t="s">
        <v>242</v>
      </c>
      <c r="T9">
        <v>812</v>
      </c>
    </row>
    <row r="10" spans="1:20" x14ac:dyDescent="0.25">
      <c r="A10" s="5">
        <v>2017</v>
      </c>
      <c r="B10" s="179">
        <v>142</v>
      </c>
      <c r="C10" s="179">
        <v>40</v>
      </c>
      <c r="D10" s="179">
        <v>55</v>
      </c>
      <c r="E10" s="179">
        <v>969</v>
      </c>
      <c r="F10" s="178">
        <v>4100</v>
      </c>
      <c r="G10" s="179">
        <v>2197</v>
      </c>
      <c r="H10">
        <f t="shared" si="0"/>
        <v>440</v>
      </c>
      <c r="I10" s="15">
        <v>55</v>
      </c>
      <c r="N10" t="s">
        <v>236</v>
      </c>
      <c r="O10">
        <v>2019</v>
      </c>
      <c r="P10" t="s">
        <v>237</v>
      </c>
      <c r="Q10" t="s">
        <v>238</v>
      </c>
      <c r="R10" t="s">
        <v>241</v>
      </c>
      <c r="S10" t="s">
        <v>242</v>
      </c>
      <c r="T10">
        <v>998</v>
      </c>
    </row>
    <row r="11" spans="1:20" x14ac:dyDescent="0.25">
      <c r="A11" s="5">
        <v>2018</v>
      </c>
      <c r="B11" s="179">
        <v>113</v>
      </c>
      <c r="C11" s="179">
        <v>33</v>
      </c>
      <c r="D11" s="179">
        <v>57</v>
      </c>
      <c r="E11" s="179">
        <v>812</v>
      </c>
      <c r="F11" s="180">
        <v>3870</v>
      </c>
      <c r="G11" s="179">
        <v>1649</v>
      </c>
      <c r="H11">
        <f t="shared" si="0"/>
        <v>280</v>
      </c>
      <c r="I11" s="15">
        <v>60</v>
      </c>
      <c r="N11" t="s">
        <v>236</v>
      </c>
      <c r="O11">
        <v>2020</v>
      </c>
      <c r="P11" t="s">
        <v>237</v>
      </c>
      <c r="Q11" t="s">
        <v>238</v>
      </c>
      <c r="R11" t="s">
        <v>241</v>
      </c>
      <c r="S11" t="s">
        <v>242</v>
      </c>
      <c r="T11">
        <v>759</v>
      </c>
    </row>
    <row r="12" spans="1:20" x14ac:dyDescent="0.25">
      <c r="A12" s="5">
        <v>2019</v>
      </c>
      <c r="B12" s="179">
        <v>111</v>
      </c>
      <c r="C12" s="179">
        <v>35</v>
      </c>
      <c r="D12" s="179">
        <v>56</v>
      </c>
      <c r="E12" s="179">
        <v>998</v>
      </c>
      <c r="F12" s="180">
        <v>4400</v>
      </c>
      <c r="G12" s="179">
        <v>1999</v>
      </c>
      <c r="H12">
        <f t="shared" si="0"/>
        <v>400</v>
      </c>
      <c r="I12" s="15"/>
      <c r="N12" t="s">
        <v>236</v>
      </c>
      <c r="O12">
        <v>2021</v>
      </c>
      <c r="P12" t="s">
        <v>237</v>
      </c>
      <c r="Q12" t="s">
        <v>238</v>
      </c>
      <c r="R12" t="s">
        <v>241</v>
      </c>
      <c r="S12" t="s">
        <v>242</v>
      </c>
      <c r="T12">
        <v>864</v>
      </c>
    </row>
    <row r="13" spans="1:20" x14ac:dyDescent="0.25">
      <c r="A13" s="5">
        <v>2020</v>
      </c>
      <c r="B13" s="179">
        <v>113</v>
      </c>
      <c r="C13" s="179">
        <v>38</v>
      </c>
      <c r="D13" s="179">
        <v>60</v>
      </c>
      <c r="E13" s="179">
        <v>759</v>
      </c>
      <c r="F13" s="179">
        <v>3900</v>
      </c>
      <c r="G13" s="179">
        <v>1800</v>
      </c>
      <c r="I13" s="15"/>
      <c r="N13" t="s">
        <v>236</v>
      </c>
      <c r="O13">
        <v>2017</v>
      </c>
      <c r="P13" t="s">
        <v>237</v>
      </c>
      <c r="Q13" t="s">
        <v>238</v>
      </c>
      <c r="R13" t="s">
        <v>243</v>
      </c>
      <c r="S13" t="s">
        <v>244</v>
      </c>
      <c r="T13" s="176">
        <v>4100</v>
      </c>
    </row>
    <row r="14" spans="1:20" ht="15.75" thickBot="1" x14ac:dyDescent="0.3">
      <c r="A14" s="5">
        <v>2021</v>
      </c>
      <c r="B14" s="179">
        <v>146</v>
      </c>
      <c r="C14" s="179">
        <v>39</v>
      </c>
      <c r="D14" s="179">
        <v>56</v>
      </c>
      <c r="E14" s="179">
        <v>864</v>
      </c>
      <c r="F14" s="179">
        <v>4000</v>
      </c>
      <c r="G14" s="179">
        <v>1999</v>
      </c>
      <c r="I14" s="15"/>
      <c r="N14" t="s">
        <v>236</v>
      </c>
      <c r="O14">
        <v>2018</v>
      </c>
      <c r="P14" t="s">
        <v>237</v>
      </c>
      <c r="Q14" t="s">
        <v>238</v>
      </c>
      <c r="R14" t="s">
        <v>243</v>
      </c>
      <c r="S14" t="s">
        <v>244</v>
      </c>
      <c r="T14" s="176">
        <v>3870</v>
      </c>
    </row>
    <row r="15" spans="1:20" ht="16.5" thickTop="1" thickBot="1" x14ac:dyDescent="0.3">
      <c r="A15" s="7" t="s">
        <v>16</v>
      </c>
      <c r="B15" s="1">
        <f>AVERAGE(B12:B14)</f>
        <v>123.33333333333333</v>
      </c>
      <c r="C15" s="1">
        <f>AVERAGE(C12:C14)</f>
        <v>37.333333333333336</v>
      </c>
      <c r="D15" s="1">
        <f t="shared" ref="D15:G15" si="1">AVERAGE(D12:D14)</f>
        <v>57.333333333333336</v>
      </c>
      <c r="E15" s="1">
        <f t="shared" si="1"/>
        <v>873.66666666666663</v>
      </c>
      <c r="F15" s="1">
        <f t="shared" si="1"/>
        <v>4100</v>
      </c>
      <c r="G15" s="1">
        <f t="shared" si="1"/>
        <v>1932.6666666666667</v>
      </c>
      <c r="H15" s="1">
        <f>AVERAGE(H10:H12)</f>
        <v>373.33333333333331</v>
      </c>
      <c r="I15" s="111">
        <f>AVERAGE(I9:I11)</f>
        <v>56.666666666666664</v>
      </c>
      <c r="N15" t="s">
        <v>236</v>
      </c>
      <c r="O15">
        <v>2019</v>
      </c>
      <c r="P15" t="s">
        <v>237</v>
      </c>
      <c r="Q15" t="s">
        <v>238</v>
      </c>
      <c r="R15" t="s">
        <v>243</v>
      </c>
      <c r="S15" t="s">
        <v>244</v>
      </c>
      <c r="T15" s="176">
        <v>4400</v>
      </c>
    </row>
    <row r="16" spans="1:20" ht="16.5" thickTop="1" thickBot="1" x14ac:dyDescent="0.3">
      <c r="A16" s="8" t="s">
        <v>15</v>
      </c>
      <c r="B16" s="2">
        <f>AVERAGE(B10:B14)</f>
        <v>125</v>
      </c>
      <c r="C16" s="2">
        <f>AVERAGE(C10:C14)</f>
        <v>37</v>
      </c>
      <c r="D16" s="2">
        <f t="shared" ref="D16:G16" si="2">AVERAGE(D10:D14)</f>
        <v>56.8</v>
      </c>
      <c r="E16" s="2">
        <f t="shared" si="2"/>
        <v>880.4</v>
      </c>
      <c r="F16" s="2">
        <f t="shared" si="2"/>
        <v>4054</v>
      </c>
      <c r="G16" s="2">
        <f t="shared" si="2"/>
        <v>1928.8</v>
      </c>
      <c r="H16" s="2">
        <f>AVERAGE(H8:H12)</f>
        <v>372</v>
      </c>
      <c r="I16" s="2">
        <f>AVERAGE(I10:I14)</f>
        <v>57.5</v>
      </c>
      <c r="N16" t="s">
        <v>236</v>
      </c>
      <c r="O16">
        <v>2020</v>
      </c>
      <c r="P16" t="s">
        <v>237</v>
      </c>
      <c r="Q16" t="s">
        <v>238</v>
      </c>
      <c r="R16" t="s">
        <v>243</v>
      </c>
      <c r="S16" t="s">
        <v>244</v>
      </c>
      <c r="T16" s="176">
        <v>3900</v>
      </c>
    </row>
    <row r="17" spans="1:20" ht="15.75" thickTop="1" x14ac:dyDescent="0.25">
      <c r="A17" s="5" t="s">
        <v>17</v>
      </c>
      <c r="B17" s="9">
        <f t="shared" ref="B17:F17" si="3">B15/B16</f>
        <v>0.98666666666666658</v>
      </c>
      <c r="C17" s="9">
        <f t="shared" si="3"/>
        <v>1.0090090090090091</v>
      </c>
      <c r="D17" s="9">
        <f t="shared" si="3"/>
        <v>1.0093896713615025</v>
      </c>
      <c r="E17" s="9">
        <f t="shared" si="3"/>
        <v>0.99235196122974401</v>
      </c>
      <c r="F17" s="9">
        <f t="shared" si="3"/>
        <v>1.0113468179575729</v>
      </c>
      <c r="G17" s="9">
        <f>G15/G16</f>
        <v>1.0020047006774506</v>
      </c>
      <c r="H17" s="9">
        <f>H15/H16</f>
        <v>1.0035842293906809</v>
      </c>
      <c r="I17" s="15"/>
      <c r="N17" t="s">
        <v>236</v>
      </c>
      <c r="O17">
        <v>2021</v>
      </c>
      <c r="P17" t="s">
        <v>237</v>
      </c>
      <c r="Q17" t="s">
        <v>238</v>
      </c>
      <c r="R17" t="s">
        <v>243</v>
      </c>
      <c r="S17" t="s">
        <v>244</v>
      </c>
      <c r="T17" s="176">
        <v>4000</v>
      </c>
    </row>
    <row r="18" spans="1:20" ht="15.75" thickBot="1" x14ac:dyDescent="0.3">
      <c r="A18" s="10" t="s">
        <v>18</v>
      </c>
      <c r="B18" s="11"/>
      <c r="C18" s="11"/>
      <c r="D18" s="11"/>
      <c r="E18" s="11"/>
      <c r="F18" s="11"/>
      <c r="G18" s="11"/>
      <c r="H18" s="11"/>
      <c r="I18" s="16"/>
      <c r="N18" t="s">
        <v>236</v>
      </c>
      <c r="O18">
        <v>2017</v>
      </c>
      <c r="P18" t="s">
        <v>237</v>
      </c>
      <c r="Q18" t="s">
        <v>238</v>
      </c>
      <c r="R18" t="s">
        <v>245</v>
      </c>
      <c r="S18" t="s">
        <v>246</v>
      </c>
      <c r="T18">
        <v>55</v>
      </c>
    </row>
    <row r="19" spans="1:20" ht="15.75" thickTop="1" x14ac:dyDescent="0.25">
      <c r="N19" t="s">
        <v>236</v>
      </c>
      <c r="O19">
        <v>2018</v>
      </c>
      <c r="P19" t="s">
        <v>237</v>
      </c>
      <c r="Q19" t="s">
        <v>238</v>
      </c>
      <c r="R19" t="s">
        <v>245</v>
      </c>
      <c r="S19" t="s">
        <v>246</v>
      </c>
      <c r="T19">
        <v>60</v>
      </c>
    </row>
    <row r="20" spans="1:20" x14ac:dyDescent="0.25">
      <c r="G20" s="169" t="s">
        <v>222</v>
      </c>
      <c r="H20" s="170">
        <v>50</v>
      </c>
      <c r="N20" t="s">
        <v>236</v>
      </c>
      <c r="O20">
        <v>2017</v>
      </c>
      <c r="P20" t="s">
        <v>237</v>
      </c>
      <c r="Q20" t="s">
        <v>238</v>
      </c>
      <c r="R20" t="s">
        <v>68</v>
      </c>
      <c r="S20" t="s">
        <v>247</v>
      </c>
      <c r="T20">
        <v>40</v>
      </c>
    </row>
    <row r="21" spans="1:20" x14ac:dyDescent="0.25">
      <c r="G21" s="171">
        <v>2010</v>
      </c>
      <c r="H21" s="166">
        <v>18000</v>
      </c>
      <c r="I21" t="s">
        <v>223</v>
      </c>
      <c r="N21" t="s">
        <v>236</v>
      </c>
      <c r="O21">
        <v>2018</v>
      </c>
      <c r="P21" t="s">
        <v>237</v>
      </c>
      <c r="Q21" t="s">
        <v>238</v>
      </c>
      <c r="R21" t="s">
        <v>68</v>
      </c>
      <c r="S21" t="s">
        <v>247</v>
      </c>
      <c r="T21">
        <v>33</v>
      </c>
    </row>
    <row r="22" spans="1:20" x14ac:dyDescent="0.25">
      <c r="G22" s="171">
        <v>2011</v>
      </c>
      <c r="H22" s="166">
        <v>20000</v>
      </c>
      <c r="I22" t="s">
        <v>223</v>
      </c>
      <c r="N22" t="s">
        <v>236</v>
      </c>
      <c r="O22">
        <v>2019</v>
      </c>
      <c r="P22" t="s">
        <v>237</v>
      </c>
      <c r="Q22" t="s">
        <v>238</v>
      </c>
      <c r="R22" t="s">
        <v>68</v>
      </c>
      <c r="S22" t="s">
        <v>247</v>
      </c>
      <c r="T22">
        <v>35</v>
      </c>
    </row>
    <row r="23" spans="1:20" x14ac:dyDescent="0.25">
      <c r="G23" s="171">
        <v>2012</v>
      </c>
      <c r="H23" s="166">
        <v>20000</v>
      </c>
      <c r="I23" t="s">
        <v>223</v>
      </c>
      <c r="N23" t="s">
        <v>236</v>
      </c>
      <c r="O23">
        <v>2020</v>
      </c>
      <c r="P23" t="s">
        <v>237</v>
      </c>
      <c r="Q23" t="s">
        <v>238</v>
      </c>
      <c r="R23" t="s">
        <v>68</v>
      </c>
      <c r="S23" t="s">
        <v>247</v>
      </c>
      <c r="T23">
        <v>38</v>
      </c>
    </row>
    <row r="24" spans="1:20" x14ac:dyDescent="0.25">
      <c r="G24" s="171">
        <v>2013</v>
      </c>
      <c r="H24" s="166">
        <v>20000</v>
      </c>
      <c r="I24" t="s">
        <v>223</v>
      </c>
      <c r="N24" t="s">
        <v>236</v>
      </c>
      <c r="O24">
        <v>2021</v>
      </c>
      <c r="P24" t="s">
        <v>237</v>
      </c>
      <c r="Q24" t="s">
        <v>238</v>
      </c>
      <c r="R24" t="s">
        <v>68</v>
      </c>
      <c r="S24" t="s">
        <v>247</v>
      </c>
      <c r="T24">
        <v>39</v>
      </c>
    </row>
    <row r="25" spans="1:20" x14ac:dyDescent="0.25">
      <c r="G25" s="171">
        <v>2014</v>
      </c>
      <c r="H25" s="167">
        <v>22000</v>
      </c>
      <c r="I25" t="s">
        <v>223</v>
      </c>
      <c r="N25" t="s">
        <v>236</v>
      </c>
      <c r="O25">
        <v>2017</v>
      </c>
      <c r="P25" t="s">
        <v>237</v>
      </c>
      <c r="Q25" t="s">
        <v>238</v>
      </c>
      <c r="R25" t="s">
        <v>248</v>
      </c>
      <c r="S25" t="s">
        <v>249</v>
      </c>
      <c r="T25" s="176">
        <v>2197</v>
      </c>
    </row>
    <row r="26" spans="1:20" x14ac:dyDescent="0.25">
      <c r="G26" s="171">
        <v>2015</v>
      </c>
      <c r="H26" s="168">
        <v>19000</v>
      </c>
      <c r="I26" t="s">
        <v>223</v>
      </c>
      <c r="N26" t="s">
        <v>236</v>
      </c>
      <c r="O26">
        <v>2018</v>
      </c>
      <c r="P26" t="s">
        <v>237</v>
      </c>
      <c r="Q26" t="s">
        <v>238</v>
      </c>
      <c r="R26" t="s">
        <v>248</v>
      </c>
      <c r="S26" t="s">
        <v>249</v>
      </c>
      <c r="T26" s="176">
        <v>1649</v>
      </c>
    </row>
    <row r="27" spans="1:20" x14ac:dyDescent="0.25">
      <c r="G27" s="171">
        <v>2016</v>
      </c>
      <c r="H27" s="168">
        <v>18000</v>
      </c>
      <c r="I27" t="s">
        <v>223</v>
      </c>
      <c r="N27" t="s">
        <v>236</v>
      </c>
      <c r="O27">
        <v>2019</v>
      </c>
      <c r="P27" t="s">
        <v>237</v>
      </c>
      <c r="Q27" t="s">
        <v>238</v>
      </c>
      <c r="R27" t="s">
        <v>248</v>
      </c>
      <c r="S27" t="s">
        <v>249</v>
      </c>
      <c r="T27" s="176">
        <v>1999</v>
      </c>
    </row>
    <row r="28" spans="1:20" x14ac:dyDescent="0.25">
      <c r="G28" s="171">
        <v>2017</v>
      </c>
      <c r="H28" s="168">
        <v>22000</v>
      </c>
      <c r="I28" t="s">
        <v>223</v>
      </c>
      <c r="N28" t="s">
        <v>236</v>
      </c>
      <c r="O28">
        <v>2020</v>
      </c>
      <c r="P28" t="s">
        <v>237</v>
      </c>
      <c r="Q28" t="s">
        <v>238</v>
      </c>
      <c r="R28" t="s">
        <v>248</v>
      </c>
      <c r="S28" t="s">
        <v>249</v>
      </c>
      <c r="T28" s="176">
        <v>1800</v>
      </c>
    </row>
    <row r="29" spans="1:20" x14ac:dyDescent="0.25">
      <c r="G29" s="171">
        <v>2018</v>
      </c>
      <c r="H29" s="168">
        <v>14000</v>
      </c>
      <c r="I29" t="s">
        <v>223</v>
      </c>
      <c r="N29" t="s">
        <v>236</v>
      </c>
      <c r="O29">
        <v>2021</v>
      </c>
      <c r="P29" t="s">
        <v>237</v>
      </c>
      <c r="Q29" t="s">
        <v>238</v>
      </c>
      <c r="R29" t="s">
        <v>248</v>
      </c>
      <c r="S29" t="s">
        <v>249</v>
      </c>
      <c r="T29" s="176">
        <v>1999</v>
      </c>
    </row>
    <row r="30" spans="1:20" x14ac:dyDescent="0.25">
      <c r="G30" s="171">
        <v>2019</v>
      </c>
      <c r="H30" s="168">
        <v>20000</v>
      </c>
      <c r="I30" t="s">
        <v>223</v>
      </c>
      <c r="N30" t="s">
        <v>236</v>
      </c>
      <c r="O30">
        <v>2017</v>
      </c>
      <c r="P30" t="s">
        <v>237</v>
      </c>
      <c r="Q30" t="s">
        <v>238</v>
      </c>
      <c r="R30" t="s">
        <v>250</v>
      </c>
      <c r="S30" t="s">
        <v>251</v>
      </c>
      <c r="T30">
        <v>55</v>
      </c>
    </row>
    <row r="31" spans="1:20" x14ac:dyDescent="0.25">
      <c r="N31" t="s">
        <v>236</v>
      </c>
      <c r="O31">
        <v>2018</v>
      </c>
      <c r="P31" t="s">
        <v>237</v>
      </c>
      <c r="Q31" t="s">
        <v>238</v>
      </c>
      <c r="R31" t="s">
        <v>250</v>
      </c>
      <c r="S31" t="s">
        <v>251</v>
      </c>
      <c r="T31">
        <v>57</v>
      </c>
    </row>
    <row r="32" spans="1:20" x14ac:dyDescent="0.25">
      <c r="N32" t="s">
        <v>236</v>
      </c>
      <c r="O32">
        <v>2019</v>
      </c>
      <c r="P32" t="s">
        <v>237</v>
      </c>
      <c r="Q32" t="s">
        <v>238</v>
      </c>
      <c r="R32" t="s">
        <v>250</v>
      </c>
      <c r="S32" t="s">
        <v>251</v>
      </c>
      <c r="T32">
        <v>56</v>
      </c>
    </row>
    <row r="33" spans="14:20" x14ac:dyDescent="0.25">
      <c r="N33" t="s">
        <v>236</v>
      </c>
      <c r="O33">
        <v>2020</v>
      </c>
      <c r="P33" t="s">
        <v>237</v>
      </c>
      <c r="Q33" t="s">
        <v>238</v>
      </c>
      <c r="R33" t="s">
        <v>250</v>
      </c>
      <c r="S33" t="s">
        <v>251</v>
      </c>
      <c r="T33">
        <v>60</v>
      </c>
    </row>
    <row r="34" spans="14:20" x14ac:dyDescent="0.25">
      <c r="N34" t="s">
        <v>236</v>
      </c>
      <c r="O34">
        <v>2021</v>
      </c>
      <c r="P34" t="s">
        <v>237</v>
      </c>
      <c r="Q34" t="s">
        <v>238</v>
      </c>
      <c r="R34" t="s">
        <v>250</v>
      </c>
      <c r="S34" t="s">
        <v>251</v>
      </c>
      <c r="T34">
        <v>56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0"/>
  <sheetViews>
    <sheetView topLeftCell="A52" workbookViewId="0">
      <selection activeCell="I83" sqref="I83:I85"/>
    </sheetView>
  </sheetViews>
  <sheetFormatPr defaultRowHeight="15" x14ac:dyDescent="0.25"/>
  <cols>
    <col min="1" max="1" width="3.140625" style="106" customWidth="1"/>
    <col min="3" max="3" width="20.140625" customWidth="1"/>
    <col min="7" max="7" width="3" style="106" customWidth="1"/>
    <col min="9" max="9" width="15.140625" customWidth="1"/>
    <col min="14" max="14" width="3.28515625" style="106" customWidth="1"/>
  </cols>
  <sheetData>
    <row r="1" spans="2:13" ht="23.25" x14ac:dyDescent="0.35">
      <c r="B1" s="253" t="s">
        <v>189</v>
      </c>
      <c r="C1" s="253"/>
      <c r="D1" s="253"/>
      <c r="E1" s="253"/>
      <c r="F1" s="253"/>
      <c r="G1" s="253"/>
      <c r="H1" s="253"/>
      <c r="I1" s="253"/>
      <c r="J1" s="253"/>
      <c r="K1" s="253"/>
      <c r="L1" s="253"/>
      <c r="M1" s="253"/>
    </row>
    <row r="2" spans="2:13" ht="21" x14ac:dyDescent="0.35">
      <c r="B2" s="255" t="s">
        <v>68</v>
      </c>
      <c r="C2" s="255"/>
      <c r="D2" s="255"/>
      <c r="E2" s="255"/>
      <c r="F2" s="255"/>
      <c r="H2" s="255" t="s">
        <v>160</v>
      </c>
      <c r="I2" s="255"/>
      <c r="J2" s="255"/>
      <c r="K2" s="255"/>
      <c r="L2" s="255"/>
      <c r="M2" s="255"/>
    </row>
    <row r="3" spans="2:13" ht="18.75" x14ac:dyDescent="0.3">
      <c r="B3" s="256" t="s">
        <v>69</v>
      </c>
      <c r="C3" s="256"/>
      <c r="D3" s="256"/>
      <c r="E3" s="71" t="s">
        <v>190</v>
      </c>
      <c r="F3" s="72"/>
      <c r="H3" s="256" t="s">
        <v>69</v>
      </c>
      <c r="I3" s="256"/>
      <c r="J3" s="256"/>
      <c r="K3" s="71" t="s">
        <v>190</v>
      </c>
      <c r="L3" s="72"/>
      <c r="M3" s="73"/>
    </row>
    <row r="4" spans="2:13" x14ac:dyDescent="0.25">
      <c r="B4" s="73"/>
      <c r="C4" s="74" t="s">
        <v>70</v>
      </c>
      <c r="D4" s="75">
        <v>0</v>
      </c>
      <c r="E4" s="75"/>
      <c r="F4" s="72" t="s">
        <v>71</v>
      </c>
      <c r="H4" s="73"/>
      <c r="I4" s="74" t="s">
        <v>70</v>
      </c>
      <c r="J4" s="75">
        <v>138.24</v>
      </c>
      <c r="K4" s="75"/>
      <c r="L4" s="72" t="s">
        <v>71</v>
      </c>
      <c r="M4" s="73"/>
    </row>
    <row r="5" spans="2:13" x14ac:dyDescent="0.25">
      <c r="B5" s="73"/>
      <c r="C5" s="74" t="s">
        <v>72</v>
      </c>
      <c r="D5" s="75">
        <v>0</v>
      </c>
      <c r="E5" s="75"/>
      <c r="F5" s="76">
        <f>AVERAGE(D4:D9)</f>
        <v>0</v>
      </c>
      <c r="H5" s="73"/>
      <c r="I5" s="74" t="s">
        <v>72</v>
      </c>
      <c r="J5" s="75">
        <v>184.06666666666669</v>
      </c>
      <c r="K5" s="75"/>
      <c r="L5" s="76">
        <f>AVERAGE(J4:J9)</f>
        <v>144.20388888888888</v>
      </c>
      <c r="M5" s="73"/>
    </row>
    <row r="6" spans="2:13" x14ac:dyDescent="0.25">
      <c r="B6" s="73"/>
      <c r="C6" s="74" t="s">
        <v>73</v>
      </c>
      <c r="D6" s="75">
        <v>0</v>
      </c>
      <c r="E6" s="75"/>
      <c r="F6" s="72" t="s">
        <v>74</v>
      </c>
      <c r="H6" s="73"/>
      <c r="I6" s="74" t="s">
        <v>73</v>
      </c>
      <c r="J6" s="75">
        <v>141.66666666666666</v>
      </c>
      <c r="K6" s="75"/>
      <c r="L6" s="72" t="s">
        <v>74</v>
      </c>
      <c r="M6" s="73"/>
    </row>
    <row r="7" spans="2:13" x14ac:dyDescent="0.25">
      <c r="B7" s="73"/>
      <c r="C7" s="74" t="s">
        <v>75</v>
      </c>
      <c r="D7" s="75">
        <v>0</v>
      </c>
      <c r="E7" s="75"/>
      <c r="F7" s="76">
        <f>MEDIAN(D4:D9)</f>
        <v>0</v>
      </c>
      <c r="H7" s="73"/>
      <c r="I7" s="74" t="s">
        <v>75</v>
      </c>
      <c r="J7" s="75">
        <v>167.60000000000002</v>
      </c>
      <c r="K7" s="75"/>
      <c r="L7" s="76">
        <f>MEDIAN(J4:J9)</f>
        <v>139.95333333333332</v>
      </c>
      <c r="M7" s="73"/>
    </row>
    <row r="8" spans="2:13" x14ac:dyDescent="0.25">
      <c r="B8" s="73"/>
      <c r="C8" s="74" t="s">
        <v>76</v>
      </c>
      <c r="D8" s="75">
        <v>0</v>
      </c>
      <c r="E8" s="75"/>
      <c r="F8" s="72" t="s">
        <v>77</v>
      </c>
      <c r="H8" s="73"/>
      <c r="I8" s="74" t="s">
        <v>76</v>
      </c>
      <c r="J8" s="75">
        <v>111.5</v>
      </c>
      <c r="K8" s="75"/>
      <c r="L8" s="72" t="s">
        <v>77</v>
      </c>
      <c r="M8" s="73"/>
    </row>
    <row r="9" spans="2:13" x14ac:dyDescent="0.25">
      <c r="B9" s="73"/>
      <c r="C9" s="74" t="s">
        <v>78</v>
      </c>
      <c r="D9" s="75">
        <v>0</v>
      </c>
      <c r="E9" s="75"/>
      <c r="F9" s="76">
        <f>(MAX(D4:D9))-(MIN(D4:D9))</f>
        <v>0</v>
      </c>
      <c r="H9" s="73"/>
      <c r="I9" s="74" t="s">
        <v>78</v>
      </c>
      <c r="J9" s="75">
        <v>122.14999999999999</v>
      </c>
      <c r="K9" s="75"/>
      <c r="L9" s="76">
        <f>(MAX(J4:J9))-(MIN(J4:J9))</f>
        <v>72.566666666666691</v>
      </c>
      <c r="M9" s="73"/>
    </row>
    <row r="10" spans="2:13" ht="18.75" x14ac:dyDescent="0.3">
      <c r="B10" s="257" t="s">
        <v>79</v>
      </c>
      <c r="C10" s="257"/>
      <c r="D10" s="257"/>
      <c r="E10" s="77" t="s">
        <v>190</v>
      </c>
      <c r="F10" s="78"/>
      <c r="H10" s="257" t="s">
        <v>79</v>
      </c>
      <c r="I10" s="257"/>
      <c r="J10" s="257"/>
      <c r="K10" s="77" t="s">
        <v>190</v>
      </c>
      <c r="L10" s="78"/>
      <c r="M10" s="81"/>
    </row>
    <row r="11" spans="2:13" x14ac:dyDescent="0.25">
      <c r="B11" s="79"/>
      <c r="C11" s="80" t="s">
        <v>80</v>
      </c>
      <c r="D11" s="81">
        <v>35.72</v>
      </c>
      <c r="E11" s="81"/>
      <c r="F11" s="82" t="s">
        <v>71</v>
      </c>
      <c r="H11" s="79"/>
      <c r="I11" s="80" t="s">
        <v>80</v>
      </c>
      <c r="J11" s="81">
        <v>128.07500000000002</v>
      </c>
      <c r="K11" s="81"/>
      <c r="L11" s="82" t="s">
        <v>71</v>
      </c>
      <c r="M11" s="79"/>
    </row>
    <row r="12" spans="2:13" x14ac:dyDescent="0.25">
      <c r="B12" s="79"/>
      <c r="C12" s="80" t="s">
        <v>81</v>
      </c>
      <c r="D12" s="81">
        <v>40.299999999999997</v>
      </c>
      <c r="E12" s="81"/>
      <c r="F12" s="78">
        <f>AVERAGE(D11:D46)</f>
        <v>33.125</v>
      </c>
      <c r="H12" s="79"/>
      <c r="I12" s="80" t="s">
        <v>81</v>
      </c>
      <c r="J12" s="81">
        <v>131</v>
      </c>
      <c r="K12" s="81"/>
      <c r="L12" s="78">
        <f>AVERAGE(J11:J42)</f>
        <v>116.75890625</v>
      </c>
      <c r="M12" s="79"/>
    </row>
    <row r="13" spans="2:13" x14ac:dyDescent="0.25">
      <c r="B13" s="79"/>
      <c r="C13" s="80" t="s">
        <v>82</v>
      </c>
      <c r="D13" s="81">
        <v>31.13</v>
      </c>
      <c r="E13" s="81"/>
      <c r="F13" s="82" t="s">
        <v>74</v>
      </c>
      <c r="H13" s="79"/>
      <c r="I13" s="80" t="s">
        <v>82</v>
      </c>
      <c r="J13" s="81">
        <v>107.175</v>
      </c>
      <c r="K13" s="81"/>
      <c r="L13" s="82" t="s">
        <v>74</v>
      </c>
      <c r="M13" s="79"/>
    </row>
    <row r="14" spans="2:13" x14ac:dyDescent="0.25">
      <c r="B14" s="79"/>
      <c r="C14" s="80" t="s">
        <v>83</v>
      </c>
      <c r="D14" s="81">
        <v>36.049999999999997</v>
      </c>
      <c r="E14" s="81"/>
      <c r="F14" s="78">
        <f>MEDIAN(D11:D46)</f>
        <v>33.82</v>
      </c>
      <c r="H14" s="79"/>
      <c r="I14" s="80" t="s">
        <v>83</v>
      </c>
      <c r="J14" s="81">
        <v>98.440000000000012</v>
      </c>
      <c r="K14" s="81"/>
      <c r="L14" s="78">
        <f>MEDIAN(J11:J42)</f>
        <v>118.63999999999999</v>
      </c>
      <c r="M14" s="79"/>
    </row>
    <row r="15" spans="2:13" x14ac:dyDescent="0.25">
      <c r="B15" s="79"/>
      <c r="C15" s="80" t="s">
        <v>84</v>
      </c>
      <c r="D15" s="81">
        <v>30.43</v>
      </c>
      <c r="E15" s="81"/>
      <c r="F15" s="82" t="s">
        <v>77</v>
      </c>
      <c r="H15" s="79"/>
      <c r="I15" s="80" t="s">
        <v>84</v>
      </c>
      <c r="J15" s="81">
        <v>119.32000000000001</v>
      </c>
      <c r="K15" s="81"/>
      <c r="L15" s="82" t="s">
        <v>77</v>
      </c>
      <c r="M15" s="79"/>
    </row>
    <row r="16" spans="2:13" x14ac:dyDescent="0.25">
      <c r="B16" s="79"/>
      <c r="C16" s="80" t="s">
        <v>85</v>
      </c>
      <c r="D16" s="81">
        <v>39.93</v>
      </c>
      <c r="E16" s="81"/>
      <c r="F16" s="78">
        <f>(MAX(D11:D46))-(MIN(D11:D46))</f>
        <v>17.150000000000002</v>
      </c>
      <c r="H16" s="79"/>
      <c r="I16" s="80" t="s">
        <v>161</v>
      </c>
      <c r="J16" s="81">
        <v>130.4</v>
      </c>
      <c r="K16" s="81"/>
      <c r="L16" s="78">
        <f>(MAX(J11:J42))-(MIN(J11:J42))</f>
        <v>60.975000000000009</v>
      </c>
      <c r="M16" s="79"/>
    </row>
    <row r="17" spans="2:13" x14ac:dyDescent="0.25">
      <c r="B17" s="79"/>
      <c r="C17" s="80" t="s">
        <v>86</v>
      </c>
      <c r="D17" s="81">
        <v>30.5</v>
      </c>
      <c r="E17" s="81"/>
      <c r="F17" s="82"/>
      <c r="H17" s="79"/>
      <c r="I17" s="80" t="s">
        <v>86</v>
      </c>
      <c r="J17" s="81">
        <v>114.83333333333333</v>
      </c>
      <c r="K17" s="81"/>
      <c r="L17" s="82"/>
      <c r="M17" s="79"/>
    </row>
    <row r="18" spans="2:13" x14ac:dyDescent="0.25">
      <c r="B18" s="83"/>
      <c r="C18" s="84" t="s">
        <v>87</v>
      </c>
      <c r="D18" s="85">
        <v>34.020000000000003</v>
      </c>
      <c r="E18" s="85"/>
      <c r="F18" s="86"/>
      <c r="H18" s="83"/>
      <c r="I18" s="84" t="s">
        <v>87</v>
      </c>
      <c r="J18" s="85">
        <v>125.7</v>
      </c>
      <c r="K18" s="85"/>
      <c r="L18" s="86"/>
      <c r="M18" s="83"/>
    </row>
    <row r="19" spans="2:13" x14ac:dyDescent="0.25">
      <c r="B19" s="79"/>
      <c r="C19" s="80" t="s">
        <v>88</v>
      </c>
      <c r="D19" s="81">
        <v>36.83</v>
      </c>
      <c r="E19" s="81"/>
      <c r="F19" s="82"/>
      <c r="H19" s="79"/>
      <c r="I19" s="80" t="s">
        <v>88</v>
      </c>
      <c r="J19" s="81">
        <v>113.16666666666667</v>
      </c>
      <c r="K19" s="81"/>
      <c r="L19" s="82"/>
      <c r="M19" s="79"/>
    </row>
    <row r="20" spans="2:13" x14ac:dyDescent="0.25">
      <c r="B20" s="79"/>
      <c r="C20" s="80" t="s">
        <v>89</v>
      </c>
      <c r="D20" s="81">
        <v>31.26</v>
      </c>
      <c r="E20" s="81"/>
      <c r="F20" s="82"/>
      <c r="H20" s="79"/>
      <c r="I20" s="80" t="s">
        <v>89</v>
      </c>
      <c r="J20" s="81">
        <v>101.05000000000001</v>
      </c>
      <c r="K20" s="81"/>
      <c r="L20" s="82"/>
      <c r="M20" s="79"/>
    </row>
    <row r="21" spans="2:13" x14ac:dyDescent="0.25">
      <c r="B21" s="79"/>
      <c r="C21" s="80" t="s">
        <v>90</v>
      </c>
      <c r="D21" s="81">
        <v>33.72</v>
      </c>
      <c r="E21" s="81"/>
      <c r="F21" s="82"/>
      <c r="H21" s="79"/>
      <c r="I21" s="80" t="s">
        <v>90</v>
      </c>
      <c r="J21" s="81">
        <v>117.97999999999999</v>
      </c>
      <c r="K21" s="81"/>
      <c r="L21" s="82"/>
      <c r="M21" s="79"/>
    </row>
    <row r="22" spans="2:13" x14ac:dyDescent="0.25">
      <c r="B22" s="79"/>
      <c r="C22" s="80" t="s">
        <v>91</v>
      </c>
      <c r="D22" s="81">
        <v>35.96</v>
      </c>
      <c r="E22" s="81"/>
      <c r="F22" s="79"/>
      <c r="H22" s="79"/>
      <c r="I22" s="80" t="s">
        <v>91</v>
      </c>
      <c r="J22" s="81">
        <v>120.82000000000001</v>
      </c>
      <c r="K22" s="81"/>
      <c r="L22" s="79"/>
      <c r="M22" s="79"/>
    </row>
    <row r="23" spans="2:13" x14ac:dyDescent="0.25">
      <c r="B23" s="79"/>
      <c r="C23" s="80" t="s">
        <v>92</v>
      </c>
      <c r="D23" s="81">
        <v>28.35</v>
      </c>
      <c r="E23" s="81"/>
      <c r="F23" s="79"/>
      <c r="H23" s="79"/>
      <c r="I23" s="80" t="s">
        <v>92</v>
      </c>
      <c r="J23" s="81">
        <v>105.3</v>
      </c>
      <c r="K23" s="81"/>
      <c r="L23" s="79"/>
      <c r="M23" s="79"/>
    </row>
    <row r="24" spans="2:13" x14ac:dyDescent="0.25">
      <c r="B24" s="79"/>
      <c r="C24" s="80" t="s">
        <v>93</v>
      </c>
      <c r="D24" s="81">
        <v>26.02</v>
      </c>
      <c r="E24" s="81"/>
      <c r="F24" s="82"/>
      <c r="H24" s="79"/>
      <c r="I24" s="80" t="s">
        <v>93</v>
      </c>
      <c r="J24" s="81">
        <v>120.60000000000001</v>
      </c>
      <c r="K24" s="81"/>
      <c r="L24" s="82"/>
      <c r="M24" s="79"/>
    </row>
    <row r="25" spans="2:13" x14ac:dyDescent="0.25">
      <c r="B25" s="79"/>
      <c r="C25" s="80" t="s">
        <v>94</v>
      </c>
      <c r="D25" s="81">
        <v>28.6</v>
      </c>
      <c r="E25" s="81"/>
      <c r="F25" s="82"/>
      <c r="H25" s="79"/>
      <c r="I25" s="80" t="s">
        <v>94</v>
      </c>
      <c r="J25" s="81">
        <v>102.6</v>
      </c>
      <c r="K25" s="81"/>
      <c r="L25" s="82"/>
      <c r="M25" s="79"/>
    </row>
    <row r="26" spans="2:13" x14ac:dyDescent="0.25">
      <c r="B26" s="79"/>
      <c r="C26" s="80" t="s">
        <v>95</v>
      </c>
      <c r="D26" s="81">
        <v>34.880000000000003</v>
      </c>
      <c r="E26" s="81"/>
      <c r="F26" s="82"/>
      <c r="H26" s="79"/>
      <c r="I26" s="80" t="s">
        <v>95</v>
      </c>
      <c r="J26" s="81">
        <v>109.72</v>
      </c>
      <c r="K26" s="81"/>
      <c r="L26" s="82"/>
      <c r="M26" s="79"/>
    </row>
    <row r="27" spans="2:13" x14ac:dyDescent="0.25">
      <c r="B27" s="79"/>
      <c r="C27" s="80" t="s">
        <v>96</v>
      </c>
      <c r="D27" s="81">
        <v>38.15</v>
      </c>
      <c r="E27" s="81"/>
      <c r="F27" s="82"/>
      <c r="H27" s="79"/>
      <c r="I27" s="80" t="s">
        <v>96</v>
      </c>
      <c r="J27" s="81">
        <v>125.77500000000001</v>
      </c>
      <c r="K27" s="81"/>
      <c r="L27" s="82"/>
      <c r="M27" s="79"/>
    </row>
    <row r="28" spans="2:13" x14ac:dyDescent="0.25">
      <c r="B28" s="79"/>
      <c r="C28" s="80" t="s">
        <v>97</v>
      </c>
      <c r="D28" s="81">
        <v>31.76</v>
      </c>
      <c r="E28" s="81"/>
      <c r="F28" s="82"/>
      <c r="H28" s="79"/>
      <c r="I28" s="80" t="s">
        <v>97</v>
      </c>
      <c r="J28" s="81">
        <v>91.75</v>
      </c>
      <c r="K28" s="81"/>
      <c r="L28" s="82"/>
      <c r="M28" s="79"/>
    </row>
    <row r="29" spans="2:13" x14ac:dyDescent="0.25">
      <c r="B29" s="79"/>
      <c r="C29" s="80" t="s">
        <v>98</v>
      </c>
      <c r="D29" s="81">
        <v>31.25</v>
      </c>
      <c r="E29" s="81"/>
      <c r="F29" s="82"/>
      <c r="H29" s="79"/>
      <c r="I29" s="80" t="s">
        <v>98</v>
      </c>
      <c r="J29" s="81">
        <v>119.3</v>
      </c>
      <c r="K29" s="81"/>
      <c r="L29" s="82"/>
      <c r="M29" s="79"/>
    </row>
    <row r="30" spans="2:13" x14ac:dyDescent="0.25">
      <c r="B30" s="79"/>
      <c r="C30" s="80" t="s">
        <v>99</v>
      </c>
      <c r="D30" s="81">
        <v>35.96</v>
      </c>
      <c r="E30" s="81"/>
      <c r="F30" s="82"/>
      <c r="H30" s="79"/>
      <c r="I30" s="80" t="s">
        <v>99</v>
      </c>
      <c r="J30" s="81">
        <v>134.47999999999999</v>
      </c>
      <c r="K30" s="81"/>
      <c r="L30" s="82"/>
      <c r="M30" s="79"/>
    </row>
    <row r="31" spans="2:13" x14ac:dyDescent="0.25">
      <c r="B31" s="79"/>
      <c r="C31" s="80" t="s">
        <v>100</v>
      </c>
      <c r="D31" s="81">
        <v>30.66</v>
      </c>
      <c r="E31" s="81"/>
      <c r="F31" s="82"/>
      <c r="H31" s="79"/>
      <c r="I31" s="80" t="s">
        <v>100</v>
      </c>
      <c r="J31" s="81">
        <v>128.57500000000002</v>
      </c>
      <c r="K31" s="81"/>
      <c r="L31" s="82"/>
      <c r="M31" s="79"/>
    </row>
    <row r="32" spans="2:13" x14ac:dyDescent="0.25">
      <c r="B32" s="79"/>
      <c r="C32" s="80" t="s">
        <v>101</v>
      </c>
      <c r="D32" s="81">
        <v>34.119999999999997</v>
      </c>
      <c r="E32" s="81"/>
      <c r="F32" s="82"/>
      <c r="H32" s="79"/>
      <c r="I32" s="80" t="s">
        <v>101</v>
      </c>
      <c r="J32" s="81">
        <v>111.92</v>
      </c>
      <c r="K32" s="81"/>
      <c r="L32" s="82"/>
      <c r="M32" s="79"/>
    </row>
    <row r="33" spans="2:13" x14ac:dyDescent="0.25">
      <c r="B33" s="79"/>
      <c r="C33" s="80" t="s">
        <v>102</v>
      </c>
      <c r="D33" s="81">
        <v>33.92</v>
      </c>
      <c r="E33" s="81"/>
      <c r="F33" s="82"/>
      <c r="H33" s="79"/>
      <c r="I33" s="80" t="s">
        <v>102</v>
      </c>
      <c r="J33" s="81">
        <v>112.43999999999998</v>
      </c>
      <c r="K33" s="81"/>
      <c r="L33" s="82"/>
      <c r="M33" s="79"/>
    </row>
    <row r="34" spans="2:13" x14ac:dyDescent="0.25">
      <c r="B34" s="79"/>
      <c r="C34" s="80" t="s">
        <v>103</v>
      </c>
      <c r="D34" s="81">
        <v>34.92</v>
      </c>
      <c r="E34" s="81"/>
      <c r="F34" s="82"/>
      <c r="H34" s="79"/>
      <c r="I34" s="80" t="s">
        <v>103</v>
      </c>
      <c r="J34" s="81">
        <v>122.4</v>
      </c>
      <c r="K34" s="81"/>
      <c r="L34" s="82"/>
      <c r="M34" s="79"/>
    </row>
    <row r="35" spans="2:13" x14ac:dyDescent="0.25">
      <c r="B35" s="79"/>
      <c r="C35" s="80" t="s">
        <v>104</v>
      </c>
      <c r="D35" s="81">
        <v>27.9</v>
      </c>
      <c r="E35" s="81"/>
      <c r="F35" s="82"/>
      <c r="H35" s="79"/>
      <c r="I35" s="80" t="s">
        <v>104</v>
      </c>
      <c r="J35" s="81">
        <v>86.024999999999991</v>
      </c>
      <c r="K35" s="81"/>
      <c r="L35" s="82"/>
      <c r="M35" s="79"/>
    </row>
    <row r="36" spans="2:13" x14ac:dyDescent="0.25">
      <c r="B36" s="79"/>
      <c r="C36" s="80" t="s">
        <v>105</v>
      </c>
      <c r="D36" s="81">
        <v>34.76</v>
      </c>
      <c r="E36" s="81"/>
      <c r="F36" s="82"/>
      <c r="H36" s="79"/>
      <c r="I36" s="80" t="s">
        <v>105</v>
      </c>
      <c r="J36" s="81">
        <v>130.21999999999997</v>
      </c>
      <c r="K36" s="81"/>
      <c r="L36" s="82"/>
      <c r="M36" s="79"/>
    </row>
    <row r="37" spans="2:13" x14ac:dyDescent="0.25">
      <c r="B37" s="79"/>
      <c r="C37" s="80" t="s">
        <v>106</v>
      </c>
      <c r="D37" s="81">
        <v>31.28</v>
      </c>
      <c r="E37" s="81"/>
      <c r="F37" s="82"/>
      <c r="H37" s="79"/>
      <c r="I37" s="80" t="s">
        <v>106</v>
      </c>
      <c r="J37" s="81">
        <v>110.69999999999999</v>
      </c>
      <c r="K37" s="81"/>
      <c r="L37" s="82"/>
      <c r="M37" s="79"/>
    </row>
    <row r="38" spans="2:13" x14ac:dyDescent="0.25">
      <c r="B38" s="79"/>
      <c r="C38" s="80" t="s">
        <v>107</v>
      </c>
      <c r="D38" s="81">
        <v>40.85</v>
      </c>
      <c r="E38" s="81"/>
      <c r="F38" s="82"/>
      <c r="H38" s="79"/>
      <c r="I38" s="80" t="s">
        <v>107</v>
      </c>
      <c r="J38" s="81">
        <v>147</v>
      </c>
      <c r="K38" s="81"/>
      <c r="L38" s="82"/>
      <c r="M38" s="79"/>
    </row>
    <row r="39" spans="2:13" x14ac:dyDescent="0.25">
      <c r="B39" s="79"/>
      <c r="C39" s="80" t="s">
        <v>108</v>
      </c>
      <c r="D39" s="81">
        <v>38.22</v>
      </c>
      <c r="E39" s="81"/>
      <c r="F39" s="82"/>
      <c r="H39" s="79"/>
      <c r="I39" s="80" t="s">
        <v>108</v>
      </c>
      <c r="J39" s="81">
        <v>116.58</v>
      </c>
      <c r="K39" s="81"/>
      <c r="L39" s="82"/>
      <c r="M39" s="79"/>
    </row>
    <row r="40" spans="2:13" x14ac:dyDescent="0.25">
      <c r="B40" s="79"/>
      <c r="C40" s="80" t="s">
        <v>109</v>
      </c>
      <c r="D40" s="81">
        <v>23.7</v>
      </c>
      <c r="E40" s="81"/>
      <c r="F40" s="82"/>
      <c r="H40" s="79"/>
      <c r="I40" s="80" t="s">
        <v>109</v>
      </c>
      <c r="J40" s="81">
        <v>86.5</v>
      </c>
      <c r="K40" s="81"/>
      <c r="L40" s="82"/>
      <c r="M40" s="79"/>
    </row>
    <row r="41" spans="2:13" x14ac:dyDescent="0.25">
      <c r="B41" s="79"/>
      <c r="C41" s="80" t="s">
        <v>110</v>
      </c>
      <c r="D41" s="81">
        <v>40.299999999999997</v>
      </c>
      <c r="E41" s="81"/>
      <c r="F41" s="79"/>
      <c r="H41" s="79"/>
      <c r="I41" s="80" t="s">
        <v>110</v>
      </c>
      <c r="J41" s="81">
        <v>138.5</v>
      </c>
      <c r="K41" s="81"/>
      <c r="L41" s="79"/>
      <c r="M41" s="79"/>
    </row>
    <row r="42" spans="2:13" x14ac:dyDescent="0.25">
      <c r="B42" s="79"/>
      <c r="C42" s="80" t="s">
        <v>111</v>
      </c>
      <c r="D42" s="81">
        <v>29.34</v>
      </c>
      <c r="E42" s="81"/>
      <c r="F42" s="79"/>
      <c r="H42" s="79"/>
      <c r="I42" s="80" t="s">
        <v>115</v>
      </c>
      <c r="J42" s="81">
        <v>127.94000000000001</v>
      </c>
      <c r="K42" s="81"/>
      <c r="L42" s="79"/>
      <c r="M42" s="79"/>
    </row>
    <row r="43" spans="2:13" ht="18.75" x14ac:dyDescent="0.3">
      <c r="B43" s="79"/>
      <c r="C43" s="80" t="s">
        <v>112</v>
      </c>
      <c r="D43" s="81">
        <v>28.98</v>
      </c>
      <c r="E43" s="81"/>
      <c r="F43" s="79"/>
      <c r="H43" s="258" t="s">
        <v>116</v>
      </c>
      <c r="I43" s="258"/>
      <c r="J43" s="258"/>
      <c r="K43" s="87" t="s">
        <v>190</v>
      </c>
      <c r="L43" s="88"/>
      <c r="M43" s="90"/>
    </row>
    <row r="44" spans="2:13" x14ac:dyDescent="0.25">
      <c r="B44" s="79"/>
      <c r="C44" s="80" t="s">
        <v>113</v>
      </c>
      <c r="D44" s="81">
        <v>30.33</v>
      </c>
      <c r="E44" s="81"/>
      <c r="F44" s="79"/>
      <c r="H44" s="88"/>
      <c r="I44" s="89" t="s">
        <v>117</v>
      </c>
      <c r="J44" s="90">
        <v>115.30000000000001</v>
      </c>
      <c r="K44" s="90"/>
      <c r="L44" s="91" t="s">
        <v>71</v>
      </c>
      <c r="M44" s="88"/>
    </row>
    <row r="45" spans="2:13" x14ac:dyDescent="0.25">
      <c r="B45" s="79"/>
      <c r="C45" s="80" t="s">
        <v>114</v>
      </c>
      <c r="D45" s="81">
        <v>26.5</v>
      </c>
      <c r="E45" s="81"/>
      <c r="F45" s="79"/>
      <c r="H45" s="88"/>
      <c r="I45" s="89" t="s">
        <v>118</v>
      </c>
      <c r="J45" s="90">
        <v>76.400000000000006</v>
      </c>
      <c r="K45" s="90"/>
      <c r="L45" s="92">
        <f>AVERAGE(J44:J47)</f>
        <v>99.037499999999994</v>
      </c>
      <c r="M45" s="88"/>
    </row>
    <row r="46" spans="2:13" x14ac:dyDescent="0.25">
      <c r="B46" s="79"/>
      <c r="C46" s="80" t="s">
        <v>115</v>
      </c>
      <c r="D46" s="81">
        <v>35.9</v>
      </c>
      <c r="E46" s="81"/>
      <c r="F46" s="79"/>
      <c r="H46" s="88"/>
      <c r="I46" s="89" t="s">
        <v>119</v>
      </c>
      <c r="J46" s="90">
        <v>93.05</v>
      </c>
      <c r="K46" s="90"/>
      <c r="L46" s="91" t="s">
        <v>74</v>
      </c>
      <c r="M46" s="88"/>
    </row>
    <row r="47" spans="2:13" ht="18.75" x14ac:dyDescent="0.3">
      <c r="B47" s="258" t="s">
        <v>116</v>
      </c>
      <c r="C47" s="258"/>
      <c r="D47" s="258"/>
      <c r="E47" s="87" t="s">
        <v>190</v>
      </c>
      <c r="F47" s="88"/>
      <c r="H47" s="88"/>
      <c r="I47" s="89" t="s">
        <v>120</v>
      </c>
      <c r="J47" s="90">
        <v>111.39999999999999</v>
      </c>
      <c r="K47" s="90"/>
      <c r="L47" s="92">
        <f>MEDIAN(J44:J47)</f>
        <v>102.22499999999999</v>
      </c>
      <c r="M47" s="88"/>
    </row>
    <row r="48" spans="2:13" ht="18.75" x14ac:dyDescent="0.3">
      <c r="B48" s="88"/>
      <c r="C48" s="89" t="s">
        <v>117</v>
      </c>
      <c r="D48" s="90">
        <v>35.700000000000003</v>
      </c>
      <c r="E48" s="90"/>
      <c r="F48" s="91" t="s">
        <v>71</v>
      </c>
      <c r="H48" s="259" t="s">
        <v>121</v>
      </c>
      <c r="I48" s="259"/>
      <c r="J48" s="259"/>
      <c r="K48" s="93" t="s">
        <v>190</v>
      </c>
      <c r="L48" s="94"/>
      <c r="M48" s="97"/>
    </row>
    <row r="49" spans="2:13" x14ac:dyDescent="0.25">
      <c r="B49" s="88"/>
      <c r="C49" s="89" t="s">
        <v>118</v>
      </c>
      <c r="D49" s="90">
        <v>26.05</v>
      </c>
      <c r="E49" s="90"/>
      <c r="F49" s="92">
        <f>AVERAGE(D48:D51)</f>
        <v>28.5075</v>
      </c>
      <c r="H49" s="95"/>
      <c r="I49" s="96" t="s">
        <v>122</v>
      </c>
      <c r="J49" s="97">
        <v>128.51999999999998</v>
      </c>
      <c r="K49" s="97"/>
      <c r="L49" s="98" t="s">
        <v>71</v>
      </c>
      <c r="M49" s="95"/>
    </row>
    <row r="50" spans="2:13" x14ac:dyDescent="0.25">
      <c r="B50" s="88"/>
      <c r="C50" s="89" t="s">
        <v>119</v>
      </c>
      <c r="D50" s="90">
        <v>25.3</v>
      </c>
      <c r="E50" s="90"/>
      <c r="F50" s="91" t="s">
        <v>74</v>
      </c>
      <c r="H50" s="95"/>
      <c r="I50" s="96" t="s">
        <v>123</v>
      </c>
      <c r="J50" s="97">
        <v>118.74000000000001</v>
      </c>
      <c r="K50" s="97"/>
      <c r="L50" s="94">
        <f>AVERAGE(J49:J70)</f>
        <v>125.43007575757575</v>
      </c>
      <c r="M50" s="95"/>
    </row>
    <row r="51" spans="2:13" x14ac:dyDescent="0.25">
      <c r="B51" s="88"/>
      <c r="C51" s="89" t="s">
        <v>120</v>
      </c>
      <c r="D51" s="90">
        <v>26.98</v>
      </c>
      <c r="E51" s="90"/>
      <c r="F51" s="92">
        <f>MEDIAN(D48:D51)</f>
        <v>26.515000000000001</v>
      </c>
      <c r="H51" s="95"/>
      <c r="I51" s="96" t="s">
        <v>124</v>
      </c>
      <c r="J51" s="97">
        <v>120.69999999999999</v>
      </c>
      <c r="K51" s="97"/>
      <c r="L51" s="98" t="s">
        <v>74</v>
      </c>
      <c r="M51" s="95"/>
    </row>
    <row r="52" spans="2:13" ht="18.75" x14ac:dyDescent="0.3">
      <c r="B52" s="259" t="s">
        <v>121</v>
      </c>
      <c r="C52" s="259"/>
      <c r="D52" s="259"/>
      <c r="E52" s="93" t="s">
        <v>190</v>
      </c>
      <c r="F52" s="94"/>
      <c r="H52" s="95"/>
      <c r="I52" s="96" t="s">
        <v>125</v>
      </c>
      <c r="J52" s="97">
        <v>114.75</v>
      </c>
      <c r="K52" s="97"/>
      <c r="L52" s="94">
        <f>MEDIAN(J49:J70)</f>
        <v>124.1</v>
      </c>
      <c r="M52" s="95"/>
    </row>
    <row r="53" spans="2:13" x14ac:dyDescent="0.25">
      <c r="B53" s="95"/>
      <c r="C53" s="96" t="s">
        <v>122</v>
      </c>
      <c r="D53" s="97">
        <v>37.799999999999997</v>
      </c>
      <c r="E53" s="97"/>
      <c r="F53" s="98" t="s">
        <v>71</v>
      </c>
      <c r="H53" s="95"/>
      <c r="I53" s="96" t="s">
        <v>126</v>
      </c>
      <c r="J53" s="97">
        <v>125.5</v>
      </c>
      <c r="K53" s="97"/>
      <c r="L53" s="98" t="s">
        <v>77</v>
      </c>
      <c r="M53" s="95"/>
    </row>
    <row r="54" spans="2:13" x14ac:dyDescent="0.25">
      <c r="B54" s="95"/>
      <c r="C54" s="96" t="s">
        <v>123</v>
      </c>
      <c r="D54" s="97">
        <v>29.94</v>
      </c>
      <c r="E54" s="97"/>
      <c r="F54" s="94">
        <f>AVERAGE(D53:D74)</f>
        <v>34.547272727272734</v>
      </c>
      <c r="H54" s="95"/>
      <c r="I54" s="96" t="s">
        <v>127</v>
      </c>
      <c r="J54" s="97">
        <v>116.64000000000001</v>
      </c>
      <c r="K54" s="97"/>
      <c r="L54" s="94">
        <f>(MAX(J49:J70))-(MIN(J49:J70))</f>
        <v>35.399999999999991</v>
      </c>
      <c r="M54" s="95"/>
    </row>
    <row r="55" spans="2:13" x14ac:dyDescent="0.25">
      <c r="B55" s="95"/>
      <c r="C55" s="96" t="s">
        <v>124</v>
      </c>
      <c r="D55" s="97">
        <v>28.54</v>
      </c>
      <c r="E55" s="97"/>
      <c r="F55" s="98" t="s">
        <v>74</v>
      </c>
      <c r="H55" s="95"/>
      <c r="I55" s="96" t="s">
        <v>128</v>
      </c>
      <c r="J55" s="97">
        <v>143.22</v>
      </c>
      <c r="K55" s="97"/>
      <c r="L55" s="95"/>
      <c r="M55" s="95"/>
    </row>
    <row r="56" spans="2:13" x14ac:dyDescent="0.25">
      <c r="B56" s="95"/>
      <c r="C56" s="96" t="s">
        <v>125</v>
      </c>
      <c r="D56" s="97">
        <v>28.56</v>
      </c>
      <c r="E56" s="97"/>
      <c r="F56" s="94">
        <f>MEDIAN(D53:D74)</f>
        <v>35.67</v>
      </c>
      <c r="H56" s="95"/>
      <c r="I56" s="96" t="s">
        <v>129</v>
      </c>
      <c r="J56" s="97">
        <v>128.92499999999998</v>
      </c>
      <c r="K56" s="97"/>
      <c r="L56" s="98"/>
      <c r="M56" s="95"/>
    </row>
    <row r="57" spans="2:13" x14ac:dyDescent="0.25">
      <c r="B57" s="95"/>
      <c r="C57" s="96" t="s">
        <v>126</v>
      </c>
      <c r="D57" s="97">
        <v>35.64</v>
      </c>
      <c r="E57" s="97"/>
      <c r="F57" s="98" t="s">
        <v>77</v>
      </c>
      <c r="H57" s="95"/>
      <c r="I57" s="96" t="s">
        <v>130</v>
      </c>
      <c r="J57" s="97">
        <v>107.82000000000001</v>
      </c>
      <c r="K57" s="97"/>
      <c r="L57" s="98"/>
      <c r="M57" s="95"/>
    </row>
    <row r="58" spans="2:13" x14ac:dyDescent="0.25">
      <c r="B58" s="95"/>
      <c r="C58" s="96" t="s">
        <v>127</v>
      </c>
      <c r="D58" s="97">
        <v>35.26</v>
      </c>
      <c r="E58" s="97"/>
      <c r="F58" s="94">
        <f>(MAX(D53:D74))-(MIN(D53:D74))</f>
        <v>12.240000000000002</v>
      </c>
      <c r="H58" s="95"/>
      <c r="I58" s="96" t="s">
        <v>131</v>
      </c>
      <c r="J58" s="97">
        <v>130.80000000000001</v>
      </c>
      <c r="K58" s="97"/>
      <c r="L58" s="98"/>
      <c r="M58" s="95"/>
    </row>
    <row r="59" spans="2:13" x14ac:dyDescent="0.25">
      <c r="B59" s="95"/>
      <c r="C59" s="96" t="s">
        <v>128</v>
      </c>
      <c r="D59" s="97">
        <v>40.78</v>
      </c>
      <c r="E59" s="97"/>
      <c r="F59" s="95"/>
      <c r="H59" s="95"/>
      <c r="I59" s="96" t="s">
        <v>132</v>
      </c>
      <c r="J59" s="97">
        <v>141.05000000000001</v>
      </c>
      <c r="K59" s="97"/>
      <c r="L59" s="98"/>
      <c r="M59" s="95"/>
    </row>
    <row r="60" spans="2:13" x14ac:dyDescent="0.25">
      <c r="B60" s="95"/>
      <c r="C60" s="96" t="s">
        <v>129</v>
      </c>
      <c r="D60" s="97">
        <v>37.76</v>
      </c>
      <c r="E60" s="97"/>
      <c r="F60" s="98"/>
      <c r="H60" s="95"/>
      <c r="I60" s="96" t="s">
        <v>133</v>
      </c>
      <c r="J60" s="97">
        <v>122.35</v>
      </c>
      <c r="K60" s="97"/>
      <c r="L60" s="98"/>
      <c r="M60" s="95"/>
    </row>
    <row r="61" spans="2:13" x14ac:dyDescent="0.25">
      <c r="B61" s="95"/>
      <c r="C61" s="96" t="s">
        <v>130</v>
      </c>
      <c r="D61" s="97">
        <v>37.299999999999997</v>
      </c>
      <c r="E61" s="97"/>
      <c r="F61" s="98"/>
      <c r="H61" s="95"/>
      <c r="I61" s="96" t="s">
        <v>134</v>
      </c>
      <c r="J61" s="97">
        <v>141.86666666666667</v>
      </c>
      <c r="K61" s="97"/>
      <c r="L61" s="98"/>
      <c r="M61" s="95"/>
    </row>
    <row r="62" spans="2:13" x14ac:dyDescent="0.25">
      <c r="B62" s="95"/>
      <c r="C62" s="96" t="s">
        <v>131</v>
      </c>
      <c r="D62" s="97">
        <v>29.56</v>
      </c>
      <c r="E62" s="97"/>
      <c r="F62" s="98"/>
      <c r="H62" s="95"/>
      <c r="I62" s="96" t="s">
        <v>135</v>
      </c>
      <c r="J62" s="97">
        <v>129.85999999999999</v>
      </c>
      <c r="K62" s="97"/>
      <c r="L62" s="98"/>
      <c r="M62" s="95"/>
    </row>
    <row r="63" spans="2:13" x14ac:dyDescent="0.25">
      <c r="B63" s="95"/>
      <c r="C63" s="96" t="s">
        <v>132</v>
      </c>
      <c r="D63" s="97">
        <v>36.700000000000003</v>
      </c>
      <c r="E63" s="97"/>
      <c r="F63" s="98"/>
      <c r="H63" s="95"/>
      <c r="I63" s="96" t="s">
        <v>136</v>
      </c>
      <c r="J63" s="97">
        <v>111.2</v>
      </c>
      <c r="K63" s="97"/>
      <c r="L63" s="98"/>
      <c r="M63" s="95"/>
    </row>
    <row r="64" spans="2:13" x14ac:dyDescent="0.25">
      <c r="B64" s="95"/>
      <c r="C64" s="96" t="s">
        <v>133</v>
      </c>
      <c r="D64" s="97">
        <v>31.06</v>
      </c>
      <c r="E64" s="97"/>
      <c r="F64" s="98"/>
      <c r="H64" s="95"/>
      <c r="I64" s="96" t="s">
        <v>137</v>
      </c>
      <c r="J64" s="97">
        <v>117.14999999999999</v>
      </c>
      <c r="K64" s="97"/>
      <c r="L64" s="98"/>
      <c r="M64" s="95"/>
    </row>
    <row r="65" spans="2:13" x14ac:dyDescent="0.25">
      <c r="B65" s="95"/>
      <c r="C65" s="96" t="s">
        <v>134</v>
      </c>
      <c r="D65" s="97">
        <v>38.299999999999997</v>
      </c>
      <c r="E65" s="97"/>
      <c r="F65" s="98"/>
      <c r="H65" s="95"/>
      <c r="I65" s="96" t="s">
        <v>138</v>
      </c>
      <c r="J65" s="97">
        <v>134.4</v>
      </c>
      <c r="K65" s="97"/>
      <c r="L65" s="98"/>
      <c r="M65" s="95"/>
    </row>
    <row r="66" spans="2:13" x14ac:dyDescent="0.25">
      <c r="B66" s="95"/>
      <c r="C66" s="96" t="s">
        <v>135</v>
      </c>
      <c r="D66" s="97">
        <v>35.92</v>
      </c>
      <c r="E66" s="97"/>
      <c r="F66" s="98"/>
      <c r="H66" s="95"/>
      <c r="I66" s="96" t="s">
        <v>139</v>
      </c>
      <c r="J66" s="97">
        <v>122.7</v>
      </c>
      <c r="K66" s="97"/>
      <c r="L66" s="98"/>
      <c r="M66" s="95"/>
    </row>
    <row r="67" spans="2:13" x14ac:dyDescent="0.25">
      <c r="B67" s="95"/>
      <c r="C67" s="96" t="s">
        <v>136</v>
      </c>
      <c r="D67" s="97">
        <v>36.22</v>
      </c>
      <c r="E67" s="97"/>
      <c r="F67" s="98"/>
      <c r="H67" s="95"/>
      <c r="I67" s="96" t="s">
        <v>140</v>
      </c>
      <c r="J67" s="97">
        <v>121.82499999999999</v>
      </c>
      <c r="K67" s="97"/>
      <c r="L67" s="98"/>
      <c r="M67" s="95"/>
    </row>
    <row r="68" spans="2:13" x14ac:dyDescent="0.25">
      <c r="B68" s="95"/>
      <c r="C68" s="96" t="s">
        <v>137</v>
      </c>
      <c r="D68" s="97">
        <v>30.84</v>
      </c>
      <c r="E68" s="97"/>
      <c r="F68" s="98"/>
      <c r="H68" s="95"/>
      <c r="I68" s="96" t="s">
        <v>141</v>
      </c>
      <c r="J68" s="97">
        <v>133.625</v>
      </c>
      <c r="K68" s="97"/>
      <c r="L68" s="98"/>
      <c r="M68" s="95"/>
    </row>
    <row r="69" spans="2:13" x14ac:dyDescent="0.25">
      <c r="B69" s="95"/>
      <c r="C69" s="96" t="s">
        <v>138</v>
      </c>
      <c r="D69" s="97">
        <v>35.700000000000003</v>
      </c>
      <c r="E69" s="97"/>
      <c r="F69" s="98"/>
      <c r="H69" s="95"/>
      <c r="I69" s="96" t="s">
        <v>142</v>
      </c>
      <c r="J69" s="97">
        <v>120.75999999999999</v>
      </c>
      <c r="K69" s="97"/>
      <c r="L69" s="95"/>
      <c r="M69" s="95"/>
    </row>
    <row r="70" spans="2:13" x14ac:dyDescent="0.25">
      <c r="B70" s="95"/>
      <c r="C70" s="96" t="s">
        <v>139</v>
      </c>
      <c r="D70" s="97">
        <v>34.119999999999997</v>
      </c>
      <c r="E70" s="97"/>
      <c r="F70" s="98"/>
      <c r="H70" s="95"/>
      <c r="I70" s="96" t="s">
        <v>143</v>
      </c>
      <c r="J70" s="97">
        <v>127.05999999999999</v>
      </c>
      <c r="K70" s="97"/>
      <c r="L70" s="95"/>
      <c r="M70" s="95"/>
    </row>
    <row r="71" spans="2:13" ht="18.75" x14ac:dyDescent="0.3">
      <c r="B71" s="95"/>
      <c r="C71" s="96" t="s">
        <v>140</v>
      </c>
      <c r="D71" s="97">
        <v>29.72</v>
      </c>
      <c r="E71" s="97"/>
      <c r="F71" s="98"/>
      <c r="H71" s="254" t="s">
        <v>144</v>
      </c>
      <c r="I71" s="254"/>
      <c r="J71" s="254"/>
      <c r="K71" s="99" t="s">
        <v>190</v>
      </c>
      <c r="L71" s="100"/>
      <c r="M71" s="110"/>
    </row>
    <row r="72" spans="2:13" x14ac:dyDescent="0.25">
      <c r="B72" s="95"/>
      <c r="C72" s="96" t="s">
        <v>141</v>
      </c>
      <c r="D72" s="97">
        <v>38.799999999999997</v>
      </c>
      <c r="E72" s="97"/>
      <c r="F72" s="98"/>
      <c r="H72" s="101"/>
      <c r="I72" s="102" t="s">
        <v>145</v>
      </c>
      <c r="J72" s="103">
        <v>147.68</v>
      </c>
      <c r="K72" s="103"/>
      <c r="L72" s="104" t="s">
        <v>71</v>
      </c>
      <c r="M72" s="101"/>
    </row>
    <row r="73" spans="2:13" x14ac:dyDescent="0.25">
      <c r="B73" s="95"/>
      <c r="C73" s="96" t="s">
        <v>142</v>
      </c>
      <c r="D73" s="97">
        <v>35.880000000000003</v>
      </c>
      <c r="E73" s="97"/>
      <c r="F73" s="95"/>
      <c r="H73" s="101"/>
      <c r="I73" s="102" t="s">
        <v>146</v>
      </c>
      <c r="J73" s="103">
        <v>180.04</v>
      </c>
      <c r="K73" s="103"/>
      <c r="L73" s="105">
        <f>AVERAGE(J72:J85)</f>
        <v>147.80357142857142</v>
      </c>
      <c r="M73" s="101"/>
    </row>
    <row r="74" spans="2:13" x14ac:dyDescent="0.25">
      <c r="B74" s="95"/>
      <c r="C74" s="96" t="s">
        <v>143</v>
      </c>
      <c r="D74" s="97">
        <v>35.64</v>
      </c>
      <c r="E74" s="97"/>
      <c r="F74" s="95"/>
      <c r="H74" s="101"/>
      <c r="I74" s="102" t="s">
        <v>147</v>
      </c>
      <c r="J74" s="103">
        <v>144.5</v>
      </c>
      <c r="K74" s="103"/>
      <c r="L74" s="101" t="s">
        <v>74</v>
      </c>
      <c r="M74" s="101"/>
    </row>
    <row r="75" spans="2:13" ht="18.75" x14ac:dyDescent="0.3">
      <c r="B75" s="254" t="s">
        <v>144</v>
      </c>
      <c r="C75" s="254"/>
      <c r="D75" s="254"/>
      <c r="E75" s="99" t="s">
        <v>190</v>
      </c>
      <c r="F75" s="100"/>
      <c r="H75" s="101"/>
      <c r="I75" s="102" t="s">
        <v>148</v>
      </c>
      <c r="J75" s="103">
        <v>133.35999999999999</v>
      </c>
      <c r="K75" s="103"/>
      <c r="L75" s="103">
        <f>MEDIAN(J72:J85)</f>
        <v>148.99</v>
      </c>
      <c r="M75" s="101"/>
    </row>
    <row r="76" spans="2:13" x14ac:dyDescent="0.25">
      <c r="B76" s="101"/>
      <c r="C76" s="102" t="s">
        <v>145</v>
      </c>
      <c r="D76" s="103">
        <v>41.98</v>
      </c>
      <c r="E76" s="103"/>
      <c r="F76" s="104" t="s">
        <v>71</v>
      </c>
      <c r="H76" s="101"/>
      <c r="I76" s="102" t="s">
        <v>149</v>
      </c>
      <c r="J76" s="103">
        <v>155.9</v>
      </c>
      <c r="K76" s="103"/>
      <c r="L76" s="104" t="s">
        <v>77</v>
      </c>
      <c r="M76" s="101"/>
    </row>
    <row r="77" spans="2:13" x14ac:dyDescent="0.25">
      <c r="B77" s="101"/>
      <c r="C77" s="102" t="s">
        <v>146</v>
      </c>
      <c r="D77" s="103">
        <v>43.42</v>
      </c>
      <c r="E77" s="103"/>
      <c r="F77" s="105">
        <f>AVERAGE(D76:D89)</f>
        <v>40.875714285714288</v>
      </c>
      <c r="H77" s="101"/>
      <c r="I77" s="102" t="s">
        <v>150</v>
      </c>
      <c r="J77" s="103">
        <v>154.97499999999999</v>
      </c>
      <c r="K77" s="103"/>
      <c r="L77" s="105">
        <f>(MAX(J72:J85))-(MIN(J72:J85))</f>
        <v>61.419999999999987</v>
      </c>
      <c r="M77" s="101"/>
    </row>
    <row r="78" spans="2:13" x14ac:dyDescent="0.25">
      <c r="B78" s="101"/>
      <c r="C78" s="102" t="s">
        <v>147</v>
      </c>
      <c r="D78" s="103">
        <v>41.53</v>
      </c>
      <c r="E78" s="103"/>
      <c r="F78" s="101" t="s">
        <v>74</v>
      </c>
      <c r="H78" s="101"/>
      <c r="I78" s="102" t="s">
        <v>151</v>
      </c>
      <c r="J78" s="103">
        <v>148.12</v>
      </c>
      <c r="K78" s="103"/>
      <c r="L78" s="104"/>
      <c r="M78" s="101"/>
    </row>
    <row r="79" spans="2:13" x14ac:dyDescent="0.25">
      <c r="B79" s="101"/>
      <c r="C79" s="102" t="s">
        <v>148</v>
      </c>
      <c r="D79" s="103">
        <v>37.14</v>
      </c>
      <c r="E79" s="103"/>
      <c r="F79" s="103">
        <f>MEDIAN(D76:D89)</f>
        <v>41.814999999999998</v>
      </c>
      <c r="H79" s="101"/>
      <c r="I79" s="102" t="s">
        <v>152</v>
      </c>
      <c r="J79" s="103">
        <v>175.5</v>
      </c>
      <c r="K79" s="103"/>
      <c r="L79" s="104"/>
      <c r="M79" s="101"/>
    </row>
    <row r="80" spans="2:13" x14ac:dyDescent="0.25">
      <c r="B80" s="101"/>
      <c r="C80" s="102" t="s">
        <v>149</v>
      </c>
      <c r="D80" s="103">
        <v>42.33</v>
      </c>
      <c r="E80" s="103"/>
      <c r="F80" s="104" t="s">
        <v>77</v>
      </c>
      <c r="H80" s="101"/>
      <c r="I80" s="102" t="s">
        <v>153</v>
      </c>
      <c r="J80" s="103">
        <v>155.65</v>
      </c>
      <c r="K80" s="103"/>
      <c r="L80" s="104"/>
      <c r="M80" s="101"/>
    </row>
    <row r="81" spans="2:13" x14ac:dyDescent="0.25">
      <c r="B81" s="101"/>
      <c r="C81" s="102" t="s">
        <v>150</v>
      </c>
      <c r="D81" s="103">
        <v>46.05</v>
      </c>
      <c r="E81" s="103"/>
      <c r="F81" s="105">
        <f>(MAX(D76:D89))-(MIN(D76:D89))</f>
        <v>13.149999999999999</v>
      </c>
      <c r="H81" s="101"/>
      <c r="I81" s="102" t="s">
        <v>154</v>
      </c>
      <c r="J81" s="103">
        <v>149.85999999999999</v>
      </c>
      <c r="K81" s="103"/>
      <c r="L81" s="104"/>
      <c r="M81" s="101"/>
    </row>
    <row r="82" spans="2:13" x14ac:dyDescent="0.25">
      <c r="B82" s="101"/>
      <c r="C82" s="102" t="s">
        <v>151</v>
      </c>
      <c r="D82" s="103">
        <v>41.77</v>
      </c>
      <c r="E82" s="103"/>
      <c r="F82" s="104"/>
      <c r="H82" s="101"/>
      <c r="I82" s="102" t="s">
        <v>155</v>
      </c>
      <c r="J82" s="103">
        <v>160.02499999999998</v>
      </c>
      <c r="K82" s="103"/>
      <c r="L82" s="104"/>
      <c r="M82" s="101"/>
    </row>
    <row r="83" spans="2:13" x14ac:dyDescent="0.25">
      <c r="B83" s="101"/>
      <c r="C83" s="102" t="s">
        <v>152</v>
      </c>
      <c r="D83" s="103">
        <v>47.25</v>
      </c>
      <c r="E83" s="103"/>
      <c r="F83" s="104"/>
      <c r="H83" s="101"/>
      <c r="I83" s="102" t="s">
        <v>156</v>
      </c>
      <c r="J83" s="103">
        <v>118.62</v>
      </c>
      <c r="K83" s="103"/>
      <c r="L83" s="104"/>
      <c r="M83" s="101"/>
    </row>
    <row r="84" spans="2:13" x14ac:dyDescent="0.25">
      <c r="B84" s="101"/>
      <c r="C84" s="102" t="s">
        <v>153</v>
      </c>
      <c r="D84" s="103">
        <v>41.86</v>
      </c>
      <c r="E84" s="103"/>
      <c r="F84" s="104"/>
      <c r="H84" s="101"/>
      <c r="I84" s="102" t="s">
        <v>157</v>
      </c>
      <c r="J84" s="103">
        <v>120.91999999999999</v>
      </c>
      <c r="K84" s="103"/>
      <c r="L84" s="101"/>
      <c r="M84" s="101"/>
    </row>
    <row r="85" spans="2:13" x14ac:dyDescent="0.25">
      <c r="B85" s="101"/>
      <c r="C85" s="102" t="s">
        <v>154</v>
      </c>
      <c r="D85" s="103">
        <v>40.630000000000003</v>
      </c>
      <c r="E85" s="103"/>
      <c r="F85" s="104"/>
      <c r="H85" s="101"/>
      <c r="I85" s="102" t="s">
        <v>158</v>
      </c>
      <c r="J85" s="103">
        <v>124.1</v>
      </c>
      <c r="K85" s="103"/>
      <c r="L85" s="101"/>
      <c r="M85" s="101"/>
    </row>
    <row r="86" spans="2:13" x14ac:dyDescent="0.25">
      <c r="B86" s="101"/>
      <c r="C86" s="102" t="s">
        <v>155</v>
      </c>
      <c r="D86" s="103">
        <v>43.03</v>
      </c>
      <c r="E86" s="103"/>
      <c r="F86" s="104"/>
      <c r="H86" s="106"/>
      <c r="I86" s="107" t="s">
        <v>159</v>
      </c>
      <c r="J86" s="108">
        <v>125.16749999999999</v>
      </c>
      <c r="K86" s="108"/>
      <c r="L86" s="109"/>
      <c r="M86" s="106"/>
    </row>
    <row r="87" spans="2:13" x14ac:dyDescent="0.25">
      <c r="B87" s="101"/>
      <c r="C87" s="102" t="s">
        <v>156</v>
      </c>
      <c r="D87" s="103">
        <v>34.1</v>
      </c>
      <c r="E87" s="103"/>
      <c r="F87" s="104"/>
    </row>
    <row r="88" spans="2:13" x14ac:dyDescent="0.25">
      <c r="B88" s="101"/>
      <c r="C88" s="102" t="s">
        <v>157</v>
      </c>
      <c r="D88" s="103">
        <v>36.17</v>
      </c>
      <c r="E88" s="103"/>
      <c r="F88" s="101"/>
    </row>
    <row r="89" spans="2:13" x14ac:dyDescent="0.25">
      <c r="B89" s="101"/>
      <c r="C89" s="102" t="s">
        <v>158</v>
      </c>
      <c r="D89" s="103">
        <v>35</v>
      </c>
      <c r="E89" s="103"/>
      <c r="F89" s="101"/>
    </row>
    <row r="90" spans="2:13" x14ac:dyDescent="0.25">
      <c r="B90" s="106"/>
      <c r="C90" s="107" t="s">
        <v>159</v>
      </c>
      <c r="D90" s="108">
        <v>37.840000000000003</v>
      </c>
      <c r="E90" s="108"/>
      <c r="F90" s="109"/>
    </row>
  </sheetData>
  <mergeCells count="13">
    <mergeCell ref="B1:M1"/>
    <mergeCell ref="B75:D75"/>
    <mergeCell ref="H71:J71"/>
    <mergeCell ref="B2:F2"/>
    <mergeCell ref="B3:D3"/>
    <mergeCell ref="B10:D10"/>
    <mergeCell ref="B47:D47"/>
    <mergeCell ref="B52:D52"/>
    <mergeCell ref="H3:J3"/>
    <mergeCell ref="H10:J10"/>
    <mergeCell ref="H43:J43"/>
    <mergeCell ref="H48:J48"/>
    <mergeCell ref="H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Crop Comparison</vt:lpstr>
      <vt:lpstr>Crop Cost Inflation Tool</vt:lpstr>
      <vt:lpstr>Crop &amp; Farm Summary</vt:lpstr>
      <vt:lpstr>State Yields</vt:lpstr>
      <vt:lpstr>Regional Yeilds</vt:lpstr>
      <vt:lpstr>'Crop Comparison'!Print_Area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 buck</dc:creator>
  <cp:lastModifiedBy>Margaret M Huffman</cp:lastModifiedBy>
  <cp:lastPrinted>2021-10-19T15:12:12Z</cp:lastPrinted>
  <dcterms:created xsi:type="dcterms:W3CDTF">2015-02-25T17:23:27Z</dcterms:created>
  <dcterms:modified xsi:type="dcterms:W3CDTF">2021-12-13T14:28:57Z</dcterms:modified>
</cp:coreProperties>
</file>