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40" windowWidth="24880" windowHeight="14820" tabRatio="599" activeTab="0"/>
  </bookViews>
  <sheets>
    <sheet name="Cover" sheetId="1" r:id="rId1"/>
    <sheet name="Assumptions" sheetId="2" r:id="rId2"/>
    <sheet name="Budget" sheetId="3" r:id="rId3"/>
    <sheet name="BudgetSummary" sheetId="4" r:id="rId4"/>
    <sheet name="Returns" sheetId="5" r:id="rId5"/>
    <sheet name="Machinery" sheetId="6" r:id="rId6"/>
    <sheet name="ProductionSequence" sheetId="7" r:id="rId7"/>
  </sheets>
  <definedNames>
    <definedName name="_xlnm.Print_Area" localSheetId="1">'Assumptions'!$A$1:$I$54</definedName>
    <definedName name="_xlnm.Print_Area" localSheetId="5">'Machinery'!$A$1:$U$25</definedName>
    <definedName name="_xlnm.Print_Area" localSheetId="6">'ProductionSequence'!$A$1:$P$72</definedName>
    <definedName name="_xlnm.Print_Area" localSheetId="4">'Returns'!$B$1:$J$13</definedName>
  </definedNames>
  <calcPr fullCalcOnLoad="1"/>
</workbook>
</file>

<file path=xl/sharedStrings.xml><?xml version="1.0" encoding="utf-8"?>
<sst xmlns="http://schemas.openxmlformats.org/spreadsheetml/2006/main" count="955" uniqueCount="369">
  <si>
    <t>November</t>
  </si>
  <si>
    <t>December</t>
  </si>
  <si>
    <t xml:space="preserve"> </t>
  </si>
  <si>
    <t>Month</t>
  </si>
  <si>
    <t>Materials used</t>
  </si>
  <si>
    <t>Labor used</t>
  </si>
  <si>
    <t>Summary</t>
  </si>
  <si>
    <t>Cumulative</t>
  </si>
  <si>
    <t>hrs</t>
  </si>
  <si>
    <t>cost/hr</t>
  </si>
  <si>
    <t>eqcost</t>
  </si>
  <si>
    <t>price</t>
  </si>
  <si>
    <t xml:space="preserve">unit </t>
  </si>
  <si>
    <t>matcost</t>
  </si>
  <si>
    <t>cost</t>
  </si>
  <si>
    <t>costs</t>
  </si>
  <si>
    <t>October</t>
  </si>
  <si>
    <t>May</t>
  </si>
  <si>
    <t>Taxes</t>
  </si>
  <si>
    <t>Real Estate Taxes</t>
  </si>
  <si>
    <t>Net Land Rent</t>
  </si>
  <si>
    <t>Annual</t>
  </si>
  <si>
    <t>Overhead</t>
  </si>
  <si>
    <t>Annual Administrative Costs + Taxes</t>
  </si>
  <si>
    <t>Total Annual Administrative Costs + Taxes</t>
  </si>
  <si>
    <t>April</t>
  </si>
  <si>
    <t>lbs</t>
  </si>
  <si>
    <t>February</t>
  </si>
  <si>
    <t>January</t>
  </si>
  <si>
    <t>March</t>
  </si>
  <si>
    <t>June</t>
  </si>
  <si>
    <t>Total June</t>
  </si>
  <si>
    <t>July</t>
  </si>
  <si>
    <t>August</t>
  </si>
  <si>
    <t>September</t>
  </si>
  <si>
    <t>oz</t>
  </si>
  <si>
    <t>Equipment</t>
  </si>
  <si>
    <t>Materials</t>
  </si>
  <si>
    <t>Labor</t>
  </si>
  <si>
    <t>Total</t>
  </si>
  <si>
    <t>Material</t>
  </si>
  <si>
    <t>2400' roll</t>
  </si>
  <si>
    <t>Machinery Description</t>
  </si>
  <si>
    <t>Purchase Price</t>
  </si>
  <si>
    <t>Salvage Value</t>
  </si>
  <si>
    <t>Years of Life</t>
  </si>
  <si>
    <t>Depreciation</t>
  </si>
  <si>
    <t>Insurance</t>
  </si>
  <si>
    <t>Interest</t>
  </si>
  <si>
    <t>Total Ownership Cost / Year</t>
  </si>
  <si>
    <t>Total Annual Operating Costs</t>
  </si>
  <si>
    <t>Tractor, 30hp</t>
  </si>
  <si>
    <t>30 HP</t>
  </si>
  <si>
    <t>Tractor, 60hp</t>
  </si>
  <si>
    <t>60 HP</t>
  </si>
  <si>
    <t>9' Disc</t>
  </si>
  <si>
    <t>1/2 Ton Pickup</t>
  </si>
  <si>
    <t>Fertilizer Injector</t>
  </si>
  <si>
    <t>Plastic film</t>
  </si>
  <si>
    <t>Drip tape</t>
  </si>
  <si>
    <t>2 row - 40"/row</t>
  </si>
  <si>
    <t>110 gal</t>
  </si>
  <si>
    <t>Costs</t>
  </si>
  <si>
    <t>Annual Charges</t>
  </si>
  <si>
    <t>Monthly Labor Estimates</t>
  </si>
  <si>
    <t>(Hours)</t>
  </si>
  <si>
    <t>1 acre</t>
  </si>
  <si>
    <t>-</t>
  </si>
  <si>
    <t>Loan Interest Rate</t>
  </si>
  <si>
    <t>Insurance Rate</t>
  </si>
  <si>
    <t>Tax Rate</t>
  </si>
  <si>
    <t>Tractor 30 hp (D)</t>
  </si>
  <si>
    <t>Tractor 60 hp (D)</t>
  </si>
  <si>
    <t>Utility Vehicle (G)</t>
  </si>
  <si>
    <t>Annual Hours of Use</t>
  </si>
  <si>
    <t>$/lb</t>
  </si>
  <si>
    <t>Your</t>
  </si>
  <si>
    <t>Type of Operation</t>
  </si>
  <si>
    <t>pounds,  or</t>
  </si>
  <si>
    <t xml:space="preserve">   (Marketable Yield =</t>
  </si>
  <si>
    <t>Marketing Assumptions:</t>
  </si>
  <si>
    <t>Harvest Labor Cost</t>
  </si>
  <si>
    <t xml:space="preserve">Production Labor </t>
  </si>
  <si>
    <t>Selected Input prices:</t>
  </si>
  <si>
    <t>Capital Recovery</t>
  </si>
  <si>
    <t>Fixed   Cost/Hr</t>
  </si>
  <si>
    <t>Variable Cost/Hr</t>
  </si>
  <si>
    <t>Annual Depreciation</t>
  </si>
  <si>
    <t>Annual Fuel &amp; Lubricant Costs</t>
  </si>
  <si>
    <t>Repair &amp; Maintenance Cost</t>
  </si>
  <si>
    <t>Estimated Annual Total Cost/Yr</t>
  </si>
  <si>
    <t xml:space="preserve">Total   Cost/Hr </t>
  </si>
  <si>
    <t>Vehicle Description</t>
  </si>
  <si>
    <t>Estimated Fuel Price        ($/gal)</t>
  </si>
  <si>
    <t>Estimated Fuel Used per Hour (gals)</t>
  </si>
  <si>
    <t>Lubricants as a Percent of Fuel Cost</t>
  </si>
  <si>
    <t>Estimated Average Speed</t>
  </si>
  <si>
    <t>Estimated Fuel Cost/Hour</t>
  </si>
  <si>
    <t>Estimated Lubricant Cost/Hour</t>
  </si>
  <si>
    <t>Total Estimated Fuel &amp; Lube Cost/Hour</t>
  </si>
  <si>
    <t>This budget is only a guide and is not meant to be a substitute for growers calculating their own costs and estimating their own breakeven yields.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</si>
  <si>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</si>
  <si>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Budgeting Program Developed By:</t>
  </si>
  <si>
    <t>1/2 Ton Pickup (G)</t>
  </si>
  <si>
    <t>Owner Expense</t>
  </si>
  <si>
    <t>Employee Expense</t>
  </si>
  <si>
    <t xml:space="preserve"> pounds/acre</t>
  </si>
  <si>
    <t>Fuel and Lubricant Costs</t>
  </si>
  <si>
    <t>Estimated Average Mileage per Gallon</t>
  </si>
  <si>
    <t>Machinery and Vehicle by Fuel Type</t>
  </si>
  <si>
    <t>Subsoiler</t>
  </si>
  <si>
    <t>Rotary Spreader</t>
  </si>
  <si>
    <t>60 HP-WT &amp; Water Wheel</t>
  </si>
  <si>
    <t>pt</t>
  </si>
  <si>
    <t>ton</t>
  </si>
  <si>
    <t>Plastic Mulch Lifter</t>
  </si>
  <si>
    <t>Grain Drill</t>
  </si>
  <si>
    <t>Gasoline price</t>
  </si>
  <si>
    <t>Diesel price</t>
  </si>
  <si>
    <t>Total per Year</t>
  </si>
  <si>
    <t>Percent</t>
  </si>
  <si>
    <t>gal</t>
  </si>
  <si>
    <t>Fumigation Rig (modified)</t>
  </si>
  <si>
    <t>60 HP-WT &amp; Subsoiler</t>
  </si>
  <si>
    <t>60 HP-WT &amp; Rototiller</t>
  </si>
  <si>
    <t>Rototiller</t>
  </si>
  <si>
    <t>Frank Louws</t>
  </si>
  <si>
    <t>North Carolina State University, Raleigh, NC 27695-7616</t>
  </si>
  <si>
    <t>North Carolina State University, Raleigh, NC 27695-8109</t>
  </si>
  <si>
    <t>Researcher, Department of Agricultural and Resource Economics</t>
  </si>
  <si>
    <t>Professor, Department of Plant Pathology</t>
  </si>
  <si>
    <t xml:space="preserve">The values in the blue cells of the spreadsheets with red tabs are input values that users can either accept or </t>
  </si>
  <si>
    <t xml:space="preserve">replace with their own estimates. The values in all other cells are calculated based on the inputted values.  </t>
  </si>
  <si>
    <t xml:space="preserve">Users can receive a quick estimate of their costs and returns by entering their own estimates for the selected </t>
  </si>
  <si>
    <r>
      <t xml:space="preserve">"key" values displayed in the </t>
    </r>
    <r>
      <rPr>
        <i/>
        <sz val="10"/>
        <rFont val="Arial"/>
        <family val="2"/>
      </rPr>
      <t>Assumptions</t>
    </r>
    <r>
      <rPr>
        <sz val="10"/>
        <rFont val="Arial"/>
        <family val="0"/>
      </rPr>
      <t xml:space="preserve"> worksheet, while  those who would like more detailed estimates</t>
    </r>
  </si>
  <si>
    <t>Type operation</t>
  </si>
  <si>
    <t>Equipment used</t>
  </si>
  <si>
    <t>description</t>
  </si>
  <si>
    <t>qt</t>
  </si>
  <si>
    <t>LAND PREPARATION STAGE</t>
  </si>
  <si>
    <t xml:space="preserve"> wk 1</t>
  </si>
  <si>
    <t>Remove plastic from previous crop</t>
  </si>
  <si>
    <t>Hand</t>
  </si>
  <si>
    <t>wk 2</t>
  </si>
  <si>
    <t xml:space="preserve">Custom </t>
  </si>
  <si>
    <t>TOTAL June</t>
  </si>
  <si>
    <t>PRE-PLANT STAGE</t>
  </si>
  <si>
    <t>wk 1</t>
  </si>
  <si>
    <t>Subsoiling</t>
  </si>
  <si>
    <t>wk 3</t>
  </si>
  <si>
    <t>TOTAL August</t>
  </si>
  <si>
    <t>Preplant fertilizing</t>
  </si>
  <si>
    <t>Potassium sulfate (60 lb K20, 22 lb S/acre)</t>
  </si>
  <si>
    <t>Triple superphosphate (50 lbs P20)</t>
  </si>
  <si>
    <t>Preplant fumigation</t>
  </si>
  <si>
    <t>TRANS-PLANT STAGE</t>
  </si>
  <si>
    <t>wk 4</t>
  </si>
  <si>
    <t xml:space="preserve">Transplant plugs </t>
  </si>
  <si>
    <t>TOTAL September</t>
  </si>
  <si>
    <t>Replant (2%)</t>
  </si>
  <si>
    <t>Tissue sample</t>
  </si>
  <si>
    <t>kit</t>
  </si>
  <si>
    <t>Winterize drip system</t>
  </si>
  <si>
    <t>TOTAL October</t>
  </si>
  <si>
    <t>Apply floating row covers</t>
  </si>
  <si>
    <t>Apply row cover hold downs</t>
  </si>
  <si>
    <t>TOTAL November</t>
  </si>
  <si>
    <t>DORMANT STAGE</t>
  </si>
  <si>
    <t>Remove row cover</t>
  </si>
  <si>
    <t>Clean and weed beds</t>
  </si>
  <si>
    <t>TOTAL December</t>
  </si>
  <si>
    <t>Spotrete</t>
  </si>
  <si>
    <t>TOTAL January</t>
  </si>
  <si>
    <t>Scout for insects, mites</t>
  </si>
  <si>
    <t>PRE-HARVEST STAGE</t>
  </si>
  <si>
    <t>Pull plants through plastic</t>
  </si>
  <si>
    <t>Connect drip system</t>
  </si>
  <si>
    <t>Inject Ridomil Gold EC</t>
  </si>
  <si>
    <t>Check irrigation system</t>
  </si>
  <si>
    <t>Scout for strawberry weevil</t>
  </si>
  <si>
    <t>TOTAL February</t>
  </si>
  <si>
    <t>Pull plants and weed</t>
  </si>
  <si>
    <t>Inject fertilizer</t>
  </si>
  <si>
    <t>Sul-Po-Mg</t>
  </si>
  <si>
    <t>Re-apply row covers</t>
  </si>
  <si>
    <t>Rental</t>
  </si>
  <si>
    <t>hive</t>
  </si>
  <si>
    <t>TOTAL March</t>
  </si>
  <si>
    <t>HARVEST STAGE</t>
  </si>
  <si>
    <t>Pre-pick harvest labor</t>
  </si>
  <si>
    <t>Drip irrigation</t>
  </si>
  <si>
    <t>TOTAL April</t>
  </si>
  <si>
    <t xml:space="preserve">Drip irrigation </t>
  </si>
  <si>
    <t>Dis-assemble irrigation system</t>
  </si>
  <si>
    <t>TOTAL May</t>
  </si>
  <si>
    <t>Cumulative Total</t>
  </si>
  <si>
    <t xml:space="preserve">Costs of Producing, Harvesting and Marketing Strawberries  </t>
  </si>
  <si>
    <t>60 HP-WT &amp; Sprayer</t>
  </si>
  <si>
    <t>60 HP-WT &amp; Lifter</t>
  </si>
  <si>
    <t xml:space="preserve">Pickup </t>
  </si>
  <si>
    <t xml:space="preserve">60 HP-WT &amp; Tandem </t>
  </si>
  <si>
    <t>Lime</t>
  </si>
  <si>
    <t>Dispose plastic and tape</t>
  </si>
  <si>
    <t>Disk</t>
  </si>
  <si>
    <t>Break up soil clods</t>
  </si>
  <si>
    <t>TOTAL LAND PREPARATION STAGE</t>
  </si>
  <si>
    <t>TOTAL PRE-PLANT STAGE</t>
  </si>
  <si>
    <t>30 HP-WT</t>
  </si>
  <si>
    <t>Assemble irrigation system</t>
  </si>
  <si>
    <t>Irrigate for fumigation (0.5")</t>
  </si>
  <si>
    <t>Rotovate for fumigation</t>
  </si>
  <si>
    <t>Seed ryegrass in aisles</t>
  </si>
  <si>
    <t>30 HP-WT &amp; Rot Spreader</t>
  </si>
  <si>
    <t>60 HP-WT &amp; Fumigation Rig</t>
  </si>
  <si>
    <t>Irrigate plugs (x3)</t>
  </si>
  <si>
    <t>Drip System</t>
  </si>
  <si>
    <t xml:space="preserve">30 HP-WT   </t>
  </si>
  <si>
    <t>TOTAL TRANS-PLANT STAGE</t>
  </si>
  <si>
    <t>TOTAL DORMANT STAGE</t>
  </si>
  <si>
    <t>Apply herbicide to aisles</t>
  </si>
  <si>
    <t>Treat old crop with Gramoxone (x2)</t>
  </si>
  <si>
    <t>Calcium nitrate (0.75lb N/day)</t>
  </si>
  <si>
    <t>Pollinate with bees</t>
  </si>
  <si>
    <t>Calcium nitrate (0.75lb N/day) (x2)</t>
  </si>
  <si>
    <t>Botrytis control (Captan)</t>
  </si>
  <si>
    <t>Botrytis control (Elevate)</t>
  </si>
  <si>
    <t>TOTAL PRE-HARVEST STAGE</t>
  </si>
  <si>
    <t>Potassium nitrate (0.50N/day)</t>
  </si>
  <si>
    <t>Strawberry Base Production Sequence (Per Acre Costs Calculated Based on 5-Acre Production)</t>
  </si>
  <si>
    <t>U-pick supervision</t>
  </si>
  <si>
    <t>Check-out area</t>
  </si>
  <si>
    <t>TOTAL HARVEST STAGE</t>
  </si>
  <si>
    <t>Total Annual</t>
  </si>
  <si>
    <t>Pic-Chlor 60</t>
  </si>
  <si>
    <t>Ammonium sulfate (60 lb N/acre)</t>
  </si>
  <si>
    <t>Spray mites (Acramite)</t>
  </si>
  <si>
    <t>Nu Film 17</t>
  </si>
  <si>
    <t>Dormant spray (Captan 50 W)</t>
  </si>
  <si>
    <t>sqr yd</t>
  </si>
  <si>
    <t>Remove dead foliage, weed beds</t>
  </si>
  <si>
    <t>Poast 1.5EC</t>
  </si>
  <si>
    <t>Crop oil concentrate</t>
  </si>
  <si>
    <t>Remove row covers</t>
  </si>
  <si>
    <t>Boron (11% Solubor - 1/8lb/acre)</t>
  </si>
  <si>
    <t>Freeze protection</t>
  </si>
  <si>
    <t>Scout for fire ants, clipper, mites</t>
  </si>
  <si>
    <t>Treat fireants (Esteem)</t>
  </si>
  <si>
    <t>Spray mites (Kanemite)</t>
  </si>
  <si>
    <t>Spray mites (Radiant)</t>
  </si>
  <si>
    <t xml:space="preserve">wk 3 </t>
  </si>
  <si>
    <t>PTO Blast Sprayer</t>
  </si>
  <si>
    <t>Remove &amp; dispose plastic from previous crop</t>
  </si>
  <si>
    <t>Total August</t>
  </si>
  <si>
    <t>Total September</t>
  </si>
  <si>
    <t>LAND PREPARATION</t>
  </si>
  <si>
    <t>TOTAL LAND PREPARATION</t>
  </si>
  <si>
    <t>PRE-PLANT</t>
  </si>
  <si>
    <t>TOTAL PRE-PLANT</t>
  </si>
  <si>
    <t>TRANS-PLANT</t>
  </si>
  <si>
    <t>Barclay Poling</t>
  </si>
  <si>
    <t>Professor, Department of Horticultural Science</t>
  </si>
  <si>
    <t>North Carolina State University, Raleigh, NC 27695-7609</t>
  </si>
  <si>
    <t>This budget presents the estimated costs of producing and harvesting strawberries in the Southeastern United States. The cost estimates are presented on a per acre basis based on five-acre production model. It was also  assumed that the management would be near optimal and that all currently recommended practices by the Agricultural Extension Service would be followed.</t>
  </si>
  <si>
    <t xml:space="preserve">Projected Marketable Yields </t>
  </si>
  <si>
    <t>pounds/plant</t>
  </si>
  <si>
    <t>Plants/acre</t>
  </si>
  <si>
    <t>Harvest week 1</t>
  </si>
  <si>
    <t>Harvest week 2</t>
  </si>
  <si>
    <t>Harvest week 3</t>
  </si>
  <si>
    <t>Harvest week 4</t>
  </si>
  <si>
    <t>Harvest week 5</t>
  </si>
  <si>
    <t>Harvest week 6</t>
  </si>
  <si>
    <t>U-Pick</t>
  </si>
  <si>
    <t>Price</t>
  </si>
  <si>
    <t>Pre-Pick</t>
  </si>
  <si>
    <t>pounds/acre</t>
  </si>
  <si>
    <t>4qt basket</t>
  </si>
  <si>
    <t xml:space="preserve">4qt buckets/acre </t>
  </si>
  <si>
    <t>/4qt basket</t>
  </si>
  <si>
    <t>/pound</t>
  </si>
  <si>
    <t>/hour</t>
  </si>
  <si>
    <t>/gal</t>
  </si>
  <si>
    <t>ESTIMATED STRAWBERRY PRODUCTION COSTS PER ACRE</t>
  </si>
  <si>
    <t>Drip System &amp; Injector</t>
  </si>
  <si>
    <t>OH Irrigation System</t>
  </si>
  <si>
    <t>30 HP-WT &amp; OH Irrigation System</t>
  </si>
  <si>
    <t>Anthracnose spray and deer control</t>
  </si>
  <si>
    <t>Savey</t>
  </si>
  <si>
    <t>TOTAL  PER GROWING SEASON</t>
  </si>
  <si>
    <t>4qt buckets)</t>
  </si>
  <si>
    <t>Drip irrigation (2hx2)</t>
  </si>
  <si>
    <t>Inject Ridomil Gold EC and drip (2h)</t>
  </si>
  <si>
    <t>Total October</t>
  </si>
  <si>
    <t>Total November</t>
  </si>
  <si>
    <t>Total December</t>
  </si>
  <si>
    <t>Total January</t>
  </si>
  <si>
    <t>TOTAL TRANS-PLANT</t>
  </si>
  <si>
    <t>DORMANT</t>
  </si>
  <si>
    <t>TOTAL DORMANT</t>
  </si>
  <si>
    <t>PRE-HARVEST</t>
  </si>
  <si>
    <t>Total February</t>
  </si>
  <si>
    <t>Tissue sample (x2)</t>
  </si>
  <si>
    <t>Re-apply row covers (x2)</t>
  </si>
  <si>
    <t>Remove row cover (x2)</t>
  </si>
  <si>
    <t>Scout for pests (x2)</t>
  </si>
  <si>
    <t>Spray for pests (x2)</t>
  </si>
  <si>
    <t>Freeze protection (x2)</t>
  </si>
  <si>
    <t>Total March</t>
  </si>
  <si>
    <t>Spray for pests</t>
  </si>
  <si>
    <t>TOTAL PRE-HARVEST</t>
  </si>
  <si>
    <t>HARVEST</t>
  </si>
  <si>
    <t>Inject fertilizer and drip (2hx4)</t>
  </si>
  <si>
    <t>Inject fertilizer and drip (2hx3)</t>
  </si>
  <si>
    <t>Drip irrigation (2h)</t>
  </si>
  <si>
    <t>Inject fertilizer and drip (2h)</t>
  </si>
  <si>
    <t>Total April</t>
  </si>
  <si>
    <t>Inject fertilizer and drip (2hx2)</t>
  </si>
  <si>
    <t>Drip irrigation (12h)</t>
  </si>
  <si>
    <t>Total May</t>
  </si>
  <si>
    <t>TOTAL HARVEST</t>
  </si>
  <si>
    <t>TOTAL  VARIABLE PER GROWING SEASON</t>
  </si>
  <si>
    <t>Annual Administrative Costs and Taxes</t>
  </si>
  <si>
    <t>Total Annual Administrative Costs and Taxes</t>
  </si>
  <si>
    <t>U-pick</t>
  </si>
  <si>
    <t>Pre-pick</t>
  </si>
  <si>
    <t>Marketable yield</t>
  </si>
  <si>
    <t>lbs/acre</t>
  </si>
  <si>
    <t>Market price</t>
  </si>
  <si>
    <t>Gross revenue</t>
  </si>
  <si>
    <t>$/acre</t>
  </si>
  <si>
    <t>Production costs</t>
  </si>
  <si>
    <t>Administrative and taxes</t>
  </si>
  <si>
    <t>Net revenue</t>
  </si>
  <si>
    <t xml:space="preserve">Monthly Cost Estimates </t>
  </si>
  <si>
    <t>Cost Estimates for Stages of Production</t>
  </si>
  <si>
    <t>Stage</t>
  </si>
  <si>
    <t>Labor Estimates for Stages of Production</t>
  </si>
  <si>
    <t>Land Preparation</t>
  </si>
  <si>
    <t>Pre-Plant</t>
  </si>
  <si>
    <t>Trans-Plant</t>
  </si>
  <si>
    <t>Dormant</t>
  </si>
  <si>
    <t>Pre-Harvest</t>
  </si>
  <si>
    <t>Harvest</t>
  </si>
  <si>
    <t>Drip Irrigation System</t>
  </si>
  <si>
    <t>Olya Rysin</t>
  </si>
  <si>
    <t>February 2015</t>
  </si>
  <si>
    <t>The spray schedule in this budget is based on a typical year, however, as any grower knows, each year is different and therefore your pests and means of control will likely vary from what is listed. Mention of a product or vendor does not constitute a guarantee or warranty of the product, nor does it imply recommendation of one product over another. Other products may be suitable depending on soils, weather conditions, farm history, and pest pressures. For the most up-to-date IPM recommendations see the Strawberry IPM Guide at smallfruit.org.</t>
  </si>
  <si>
    <t>4qt Harvest Basket</t>
  </si>
  <si>
    <t>/each</t>
  </si>
  <si>
    <t>Other</t>
  </si>
  <si>
    <t xml:space="preserve">6000" </t>
  </si>
  <si>
    <t>Captan 50W</t>
  </si>
  <si>
    <t>Switch 62.5 WG</t>
  </si>
  <si>
    <t>Cabrio EC</t>
  </si>
  <si>
    <t>Spray Captan 5OWG</t>
  </si>
  <si>
    <t>Spray for pests (x3)</t>
  </si>
  <si>
    <t>in the Southeastern United States: Conventional Production</t>
  </si>
  <si>
    <t>Key Assumptions</t>
  </si>
  <si>
    <t>Estimated Returns per Acre</t>
  </si>
  <si>
    <t xml:space="preserve">Estimated Costs of Owning and Operating the Machinery and Equipment </t>
  </si>
  <si>
    <t>Weed beds, remove runners</t>
  </si>
  <si>
    <t>Esteem</t>
  </si>
  <si>
    <t xml:space="preserve">Spray mites, fireants and deer controll </t>
  </si>
  <si>
    <t>Spray mites and fireants (Kanemite)</t>
  </si>
  <si>
    <t xml:space="preserve">Spray mites, fireants  and deer controll </t>
  </si>
  <si>
    <t>Mower</t>
  </si>
  <si>
    <t>Subsoil</t>
  </si>
  <si>
    <t>TOTAL  COSTS</t>
  </si>
  <si>
    <t xml:space="preserve"> can fill in the blue cells in the Machinery and ProductionSequence worksheets.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</si>
</sst>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409]#,##0.00"/>
    <numFmt numFmtId="168" formatCode="[$$-409]#,##0.000"/>
    <numFmt numFmtId="169" formatCode="#,##0.000"/>
    <numFmt numFmtId="170" formatCode="_(&quot;$&quot;* #,##0.000_);_(&quot;$&quot;* \(#,##0.000\);_(&quot;$&quot;* &quot;-&quot;???_);_(@_)"/>
    <numFmt numFmtId="171" formatCode="&quot;$&quot;#,##0.000_);\(&quot;$&quot;#,##0.000\)"/>
    <numFmt numFmtId="172" formatCode="&quot;$&quot;#,##0.000;[Red]&quot;$&quot;#,##0.000"/>
    <numFmt numFmtId="173" formatCode="#,##0.000;[Red]#,##0.000"/>
    <numFmt numFmtId="174" formatCode="&quot;$&quot;#,##0.00;[Red]&quot;$&quot;#,##0.00"/>
    <numFmt numFmtId="175" formatCode="&quot;Yes&quot;;&quot;Yes&quot;;&quot;No&quot;"/>
    <numFmt numFmtId="176" formatCode="&quot;True&quot;;&quot;True&quot;;&quot;False&quot;"/>
    <numFmt numFmtId="177" formatCode="&quot;On&quot;;&quot;On&quot;;&quot;Off&quot;"/>
    <numFmt numFmtId="178" formatCode="[$€-2]\ #,##0.00_);[Red]\([$€-2]\ #,##0.00\)"/>
    <numFmt numFmtId="179" formatCode="&quot;$&quot;#,##0.000_);[Red]\(&quot;$&quot;#,##0.000\)"/>
    <numFmt numFmtId="180" formatCode="&quot;$&quot;#,##0"/>
    <numFmt numFmtId="181" formatCode="_(* #,##0_);_(* \(#,##0\);_(* &quot;-&quot;??_);_(@_)"/>
    <numFmt numFmtId="182" formatCode="#,##0;[Red]#,##0"/>
    <numFmt numFmtId="183" formatCode="_(* #,##0.000_);_(* \(#,##0.000\);_(* &quot;-&quot;???_);_(@_)"/>
    <numFmt numFmtId="184" formatCode="_(* #,##0.00000_);_(* \(#,##0.00000\);_(* &quot;-&quot;?????_);_(@_)"/>
    <numFmt numFmtId="185" formatCode="0.0000"/>
    <numFmt numFmtId="186" formatCode="&quot;$&quot;#,##0.0000"/>
    <numFmt numFmtId="187" formatCode="[$-409]h:mm:ss\ AM/PM"/>
    <numFmt numFmtId="188" formatCode="0.0"/>
    <numFmt numFmtId="189" formatCode="_(* #,##0.0_);_(* \(#,##0.0\);_(* &quot;-&quot;?_);_(@_)"/>
    <numFmt numFmtId="190" formatCode="&quot;$&quot;#,##0.0000_);[Red]\(&quot;$&quot;#,##0.0000\)"/>
    <numFmt numFmtId="191" formatCode="0.0%"/>
    <numFmt numFmtId="192" formatCode="#,##0.0"/>
    <numFmt numFmtId="193" formatCode="&quot;$&quot;#,##0.000000"/>
    <numFmt numFmtId="194" formatCode="&quot;$&quot;#,##0.00000"/>
    <numFmt numFmtId="195" formatCode="#,##0.0000"/>
    <numFmt numFmtId="196" formatCode="#,##0.000_);\(#,##0.000\)"/>
    <numFmt numFmtId="197" formatCode="&quot;$&quot;#,##0.000000000"/>
    <numFmt numFmtId="198" formatCode="#,##0.000_);[Red]\(#,##0.000\)"/>
    <numFmt numFmtId="199" formatCode="0.000%"/>
    <numFmt numFmtId="200" formatCode="&quot;$&quot;#,##0.0000000"/>
    <numFmt numFmtId="201" formatCode="&quot;$&quot;#,##0.00000000"/>
    <numFmt numFmtId="202" formatCode="#,##0.0000_);[Red]\(#,##0.0000\)"/>
    <numFmt numFmtId="203" formatCode="&quot;$&quot;#,##0.0"/>
    <numFmt numFmtId="204" formatCode="[$-409]dddd\,\ mmmm\ dd\,\ yyyy"/>
    <numFmt numFmtId="205" formatCode="[$-409]d\-mmm\-yy;@"/>
    <numFmt numFmtId="206" formatCode="[$-409]d\-mmm\-yyyy;@"/>
    <numFmt numFmtId="207" formatCode="[$-409]mmmm\-yy;@"/>
    <numFmt numFmtId="208" formatCode="[$-409]mmm\-yy;@"/>
    <numFmt numFmtId="209" formatCode="&quot;$&quot;#,##0.0_);[Red]\(&quot;$&quot;#,##0.0\)"/>
    <numFmt numFmtId="210" formatCode="_(* #,##0.0_);_(* \(#,##0.0\);_(* &quot;-&quot;??_);_(@_)"/>
    <numFmt numFmtId="211" formatCode="#,##0.00;[Red]#,##0.00"/>
    <numFmt numFmtId="212" formatCode="#,##0.0;[Red]#,##0.0"/>
    <numFmt numFmtId="213" formatCode="_(* #,##0.000_);_(* \(#,##0.000\);_(* &quot;-&quot;??_);_(@_)"/>
    <numFmt numFmtId="214" formatCode="_(* #,##0.0000_);_(* \(#,##0.0000\);_(* &quot;-&quot;??_);_(@_)"/>
  </numFmts>
  <fonts count="71">
    <font>
      <sz val="10"/>
      <name val="Arial"/>
      <family val="0"/>
    </font>
    <font>
      <b/>
      <sz val="6"/>
      <name val="Arial"/>
      <family val="2"/>
    </font>
    <font>
      <sz val="6"/>
      <name val="Arial"/>
      <family val="2"/>
    </font>
    <font>
      <u val="single"/>
      <sz val="10"/>
      <color indexed="30"/>
      <name val="Arial"/>
      <family val="2"/>
    </font>
    <font>
      <u val="single"/>
      <sz val="10"/>
      <color indexed="20"/>
      <name val="Arial"/>
      <family val="2"/>
    </font>
    <font>
      <b/>
      <sz val="8"/>
      <name val="Arial"/>
      <family val="2"/>
    </font>
    <font>
      <b/>
      <sz val="10"/>
      <name val="Arial"/>
      <family val="0"/>
    </font>
    <font>
      <sz val="8"/>
      <name val="Arial"/>
      <family val="0"/>
    </font>
    <font>
      <b/>
      <i/>
      <sz val="8"/>
      <name val="Arial"/>
      <family val="2"/>
    </font>
    <font>
      <sz val="9"/>
      <name val="Arial"/>
      <family val="2"/>
    </font>
    <font>
      <sz val="10"/>
      <color indexed="12"/>
      <name val="Arial"/>
      <family val="2"/>
    </font>
    <font>
      <sz val="10"/>
      <name val="Times New Roman"/>
      <family val="1"/>
    </font>
    <font>
      <sz val="8"/>
      <color indexed="12"/>
      <name val="Arial"/>
      <family val="2"/>
    </font>
    <font>
      <b/>
      <sz val="12"/>
      <name val="Arial"/>
      <family val="2"/>
    </font>
    <font>
      <sz val="12"/>
      <name val="Arial"/>
      <family val="2"/>
    </font>
    <font>
      <b/>
      <sz val="9"/>
      <name val="Arial"/>
      <family val="2"/>
    </font>
    <font>
      <sz val="9"/>
      <color indexed="8"/>
      <name val="Arial"/>
      <family val="2"/>
    </font>
    <font>
      <b/>
      <sz val="11"/>
      <name val="Arial"/>
      <family val="2"/>
    </font>
    <font>
      <sz val="11"/>
      <name val="Arial"/>
      <family val="2"/>
    </font>
    <font>
      <sz val="12"/>
      <name val="Times New Roman"/>
      <family val="1"/>
    </font>
    <font>
      <i/>
      <sz val="10"/>
      <name val="Arial"/>
      <family val="2"/>
    </font>
    <font>
      <b/>
      <i/>
      <sz val="8"/>
      <color indexed="62"/>
      <name val="Arial"/>
      <family val="2"/>
    </font>
    <font>
      <sz val="8"/>
      <color indexed="13"/>
      <name val="Arial"/>
      <family val="2"/>
    </font>
    <font>
      <i/>
      <sz val="8"/>
      <name val="Arial"/>
      <family val="2"/>
    </font>
    <font>
      <sz val="5"/>
      <name val="Arial"/>
      <family val="2"/>
    </font>
    <font>
      <b/>
      <sz val="7"/>
      <color indexed="61"/>
      <name val="Arial"/>
      <family val="2"/>
    </font>
    <font>
      <b/>
      <sz val="8"/>
      <color indexed="10"/>
      <name val="Arial"/>
      <family val="2"/>
    </font>
    <font>
      <b/>
      <sz val="8"/>
      <color indexed="57"/>
      <name val="Arial"/>
      <family val="2"/>
    </font>
    <font>
      <b/>
      <sz val="8"/>
      <color indexed="12"/>
      <name val="Arial"/>
      <family val="2"/>
    </font>
    <font>
      <b/>
      <sz val="8"/>
      <color indexed="61"/>
      <name val="Arial"/>
      <family val="2"/>
    </font>
    <font>
      <b/>
      <i/>
      <sz val="8"/>
      <color indexed="10"/>
      <name val="Arial"/>
      <family val="2"/>
    </font>
    <font>
      <b/>
      <i/>
      <sz val="8"/>
      <color indexed="57"/>
      <name val="Arial"/>
      <family val="2"/>
    </font>
    <font>
      <b/>
      <i/>
      <sz val="8"/>
      <color indexed="12"/>
      <name val="Arial"/>
      <family val="2"/>
    </font>
    <font>
      <b/>
      <i/>
      <sz val="8"/>
      <color indexed="20"/>
      <name val="Arial"/>
      <family val="2"/>
    </font>
    <font>
      <sz val="5"/>
      <color indexed="20"/>
      <name val="Arial"/>
      <family val="2"/>
    </font>
    <font>
      <b/>
      <i/>
      <sz val="10"/>
      <color indexed="20"/>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
      <patternFill patternType="solid">
        <fgColor theme="0" tint="-0.4999699890613556"/>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style="thin"/>
      <top>
        <color indexed="63"/>
      </top>
      <bottom>
        <color indexed="63"/>
      </bottom>
    </border>
    <border>
      <left style="thin"/>
      <right style="thin"/>
      <top>
        <color indexed="63"/>
      </top>
      <bottom>
        <color indexed="63"/>
      </bottom>
    </border>
    <border>
      <left style="thick"/>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double"/>
      <bottom>
        <color indexed="63"/>
      </bottom>
    </border>
    <border>
      <left style="thin"/>
      <right style="thick"/>
      <top style="double"/>
      <bottom>
        <color indexed="63"/>
      </bottom>
    </border>
    <border>
      <left style="thick"/>
      <right style="thin"/>
      <top style="double"/>
      <bottom style="thin"/>
    </border>
    <border>
      <left style="thick"/>
      <right style="thin"/>
      <top style="thin"/>
      <bottom style="thin"/>
    </border>
    <border>
      <left style="medium"/>
      <right style="medium"/>
      <top>
        <color indexed="63"/>
      </top>
      <bottom style="thin"/>
    </border>
    <border>
      <left style="medium"/>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thick"/>
      <top style="thin"/>
      <bottom style="thin"/>
    </border>
    <border>
      <left style="thin"/>
      <right style="thin"/>
      <top style="double"/>
      <bottom style="thin"/>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thin"/>
      <right style="thick"/>
      <top style="double"/>
      <bottom style="thin"/>
    </border>
    <border>
      <left style="medium"/>
      <right style="medium"/>
      <top style="medium"/>
      <bottom style="double"/>
    </border>
    <border>
      <left style="medium"/>
      <right style="medium"/>
      <top style="thick"/>
      <bottom style="double"/>
    </border>
    <border>
      <left style="medium"/>
      <right style="thick"/>
      <top style="thick"/>
      <bottom style="double"/>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double"/>
      <bottom style="thin"/>
    </border>
    <border>
      <left style="thin"/>
      <right>
        <color indexed="63"/>
      </right>
      <top style="thin"/>
      <bottom style="thin"/>
    </border>
    <border>
      <left style="thin"/>
      <right style="thin"/>
      <top style="thin"/>
      <bottom style="double"/>
    </border>
    <border>
      <left style="thin"/>
      <right style="thin"/>
      <top>
        <color indexed="63"/>
      </top>
      <bottom style="thin"/>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0" applyNumberFormat="0" applyBorder="0" applyAlignment="0" applyProtection="0"/>
    <xf numFmtId="0" fontId="57" fillId="28" borderId="1" applyNumberFormat="0" applyAlignment="0" applyProtection="0"/>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1" borderId="1" applyNumberFormat="0" applyAlignment="0" applyProtection="0"/>
    <xf numFmtId="0" fontId="65" fillId="0" borderId="6" applyNumberFormat="0" applyFill="0" applyAlignment="0" applyProtection="0"/>
    <xf numFmtId="0" fontId="66" fillId="32" borderId="0" applyNumberFormat="0" applyBorder="0" applyAlignment="0" applyProtection="0"/>
    <xf numFmtId="0" fontId="0" fillId="33" borderId="7" applyNumberFormat="0" applyFont="0" applyAlignment="0" applyProtection="0"/>
    <xf numFmtId="0" fontId="67" fillId="28"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0">
    <xf numFmtId="0" fontId="0" fillId="2" borderId="0" xfId="0" applyAlignment="1">
      <alignment/>
    </xf>
    <xf numFmtId="0" fontId="2" fillId="0" borderId="0" xfId="0" applyFont="1" applyFill="1" applyBorder="1" applyAlignment="1">
      <alignment/>
    </xf>
    <xf numFmtId="0" fontId="2" fillId="0" borderId="0" xfId="0" applyFont="1" applyFill="1" applyAlignment="1">
      <alignment/>
    </xf>
    <xf numFmtId="0" fontId="6" fillId="2" borderId="0" xfId="0" applyFont="1" applyAlignment="1">
      <alignment/>
    </xf>
    <xf numFmtId="0" fontId="0" fillId="2" borderId="0" xfId="0" applyAlignment="1">
      <alignment horizontal="left"/>
    </xf>
    <xf numFmtId="2" fontId="0" fillId="2" borderId="0" xfId="0" applyNumberFormat="1" applyAlignment="1">
      <alignment/>
    </xf>
    <xf numFmtId="2" fontId="7" fillId="0" borderId="0" xfId="0" applyNumberFormat="1" applyFont="1" applyFill="1" applyBorder="1" applyAlignment="1">
      <alignment/>
    </xf>
    <xf numFmtId="0" fontId="7" fillId="2" borderId="0" xfId="0" applyFont="1" applyBorder="1" applyAlignment="1">
      <alignment/>
    </xf>
    <xf numFmtId="181" fontId="7" fillId="0" borderId="0" xfId="42" applyNumberFormat="1" applyFont="1" applyBorder="1" applyAlignment="1">
      <alignment horizontal="left"/>
    </xf>
    <xf numFmtId="43" fontId="7" fillId="0" borderId="0" xfId="42" applyNumberFormat="1" applyFont="1" applyBorder="1" applyAlignment="1">
      <alignment horizontal="left"/>
    </xf>
    <xf numFmtId="43" fontId="7" fillId="0" borderId="0" xfId="42" applyNumberFormat="1" applyFont="1" applyBorder="1" applyAlignment="1">
      <alignment/>
    </xf>
    <xf numFmtId="0" fontId="0" fillId="2" borderId="0" xfId="0" applyAlignment="1">
      <alignment horizontal="center"/>
    </xf>
    <xf numFmtId="0" fontId="0" fillId="2" borderId="0" xfId="0" applyFont="1" applyAlignment="1">
      <alignment/>
    </xf>
    <xf numFmtId="0" fontId="7" fillId="2" borderId="0" xfId="0" applyFont="1" applyAlignment="1">
      <alignment/>
    </xf>
    <xf numFmtId="0" fontId="6" fillId="2" borderId="0" xfId="0" applyFont="1" applyBorder="1" applyAlignment="1">
      <alignment/>
    </xf>
    <xf numFmtId="181" fontId="0" fillId="0" borderId="0" xfId="42" applyNumberFormat="1" applyFont="1" applyBorder="1" applyAlignment="1">
      <alignment horizontal="left"/>
    </xf>
    <xf numFmtId="0" fontId="7" fillId="2" borderId="10" xfId="0" applyFont="1" applyBorder="1" applyAlignment="1">
      <alignment/>
    </xf>
    <xf numFmtId="181" fontId="7" fillId="0" borderId="10" xfId="42" applyNumberFormat="1" applyFont="1" applyBorder="1" applyAlignment="1">
      <alignment horizontal="left"/>
    </xf>
    <xf numFmtId="43" fontId="7" fillId="0" borderId="10" xfId="42" applyNumberFormat="1" applyFont="1" applyBorder="1" applyAlignment="1">
      <alignment horizontal="left"/>
    </xf>
    <xf numFmtId="43" fontId="7" fillId="0" borderId="10" xfId="42" applyNumberFormat="1" applyFont="1" applyBorder="1" applyAlignment="1">
      <alignment/>
    </xf>
    <xf numFmtId="0" fontId="12" fillId="34" borderId="11" xfId="0" applyFont="1" applyFill="1" applyBorder="1" applyAlignment="1">
      <alignment/>
    </xf>
    <xf numFmtId="181" fontId="12" fillId="0" borderId="12" xfId="42" applyNumberFormat="1" applyFont="1" applyBorder="1" applyAlignment="1">
      <alignment horizontal="left"/>
    </xf>
    <xf numFmtId="43" fontId="12" fillId="0" borderId="12" xfId="42" applyNumberFormat="1" applyFont="1" applyBorder="1" applyAlignment="1">
      <alignment horizontal="left"/>
    </xf>
    <xf numFmtId="183" fontId="12" fillId="0" borderId="12" xfId="42" applyNumberFormat="1" applyFont="1" applyBorder="1" applyAlignment="1">
      <alignment/>
    </xf>
    <xf numFmtId="183" fontId="12" fillId="0" borderId="12" xfId="42" applyNumberFormat="1" applyFont="1" applyBorder="1" applyAlignment="1">
      <alignment horizontal="left"/>
    </xf>
    <xf numFmtId="0" fontId="12" fillId="2" borderId="12" xfId="0" applyFont="1" applyBorder="1" applyAlignment="1" quotePrefix="1">
      <alignment horizontal="center"/>
    </xf>
    <xf numFmtId="0" fontId="13" fillId="0" borderId="0" xfId="0" applyFont="1" applyFill="1" applyAlignment="1">
      <alignment/>
    </xf>
    <xf numFmtId="4" fontId="14" fillId="0" borderId="0" xfId="0" applyNumberFormat="1" applyFont="1" applyFill="1" applyBorder="1" applyAlignment="1">
      <alignment horizontal="right"/>
    </xf>
    <xf numFmtId="0" fontId="9" fillId="0" borderId="0" xfId="0" applyFont="1" applyFill="1" applyBorder="1" applyAlignment="1">
      <alignment/>
    </xf>
    <xf numFmtId="0" fontId="9" fillId="2" borderId="0" xfId="0" applyFont="1" applyBorder="1" applyAlignment="1">
      <alignment/>
    </xf>
    <xf numFmtId="0" fontId="7" fillId="0" borderId="0" xfId="0" applyFont="1" applyFill="1" applyBorder="1" applyAlignment="1">
      <alignment/>
    </xf>
    <xf numFmtId="0" fontId="9" fillId="2" borderId="0" xfId="0" applyFont="1" applyBorder="1" applyAlignment="1">
      <alignment horizontal="right"/>
    </xf>
    <xf numFmtId="0" fontId="9" fillId="2" borderId="0" xfId="0" applyFont="1" applyBorder="1" applyAlignment="1">
      <alignment horizontal="left"/>
    </xf>
    <xf numFmtId="164" fontId="0" fillId="2" borderId="0" xfId="0" applyNumberFormat="1" applyAlignment="1">
      <alignment/>
    </xf>
    <xf numFmtId="0" fontId="14" fillId="2" borderId="0" xfId="0" applyFont="1" applyAlignment="1">
      <alignment/>
    </xf>
    <xf numFmtId="164" fontId="14" fillId="2" borderId="0" xfId="0" applyNumberFormat="1" applyFont="1" applyAlignment="1">
      <alignment/>
    </xf>
    <xf numFmtId="164" fontId="14" fillId="0" borderId="0" xfId="0" applyNumberFormat="1" applyFont="1" applyFill="1" applyBorder="1" applyAlignment="1">
      <alignment/>
    </xf>
    <xf numFmtId="181" fontId="12" fillId="0" borderId="0" xfId="42" applyNumberFormat="1" applyFont="1" applyBorder="1" applyAlignment="1">
      <alignment horizontal="left"/>
    </xf>
    <xf numFmtId="43" fontId="12" fillId="0" borderId="0" xfId="42" applyNumberFormat="1" applyFont="1" applyBorder="1" applyAlignment="1">
      <alignment horizontal="left"/>
    </xf>
    <xf numFmtId="183" fontId="12" fillId="0" borderId="0" xfId="42" applyNumberFormat="1" applyFont="1" applyBorder="1" applyAlignment="1">
      <alignment/>
    </xf>
    <xf numFmtId="0" fontId="12" fillId="34" borderId="13" xfId="0" applyFont="1" applyFill="1" applyBorder="1" applyAlignment="1">
      <alignment/>
    </xf>
    <xf numFmtId="0" fontId="12" fillId="2" borderId="0" xfId="0" applyFont="1" applyBorder="1" applyAlignment="1" quotePrefix="1">
      <alignment horizontal="center"/>
    </xf>
    <xf numFmtId="183" fontId="12" fillId="0" borderId="0" xfId="42" applyNumberFormat="1" applyFont="1" applyBorder="1" applyAlignment="1">
      <alignment horizontal="left"/>
    </xf>
    <xf numFmtId="0" fontId="6" fillId="2" borderId="0" xfId="0" applyFont="1" applyAlignment="1">
      <alignment horizontal="center"/>
    </xf>
    <xf numFmtId="0" fontId="0" fillId="2" borderId="0" xfId="0" applyAlignment="1">
      <alignment/>
    </xf>
    <xf numFmtId="0" fontId="15" fillId="2" borderId="14" xfId="0" applyFont="1" applyBorder="1" applyAlignment="1">
      <alignment/>
    </xf>
    <xf numFmtId="0" fontId="0" fillId="2" borderId="15" xfId="0" applyBorder="1" applyAlignment="1">
      <alignment/>
    </xf>
    <xf numFmtId="0" fontId="0" fillId="2" borderId="0" xfId="0" applyFont="1" applyBorder="1" applyAlignment="1">
      <alignment/>
    </xf>
    <xf numFmtId="0" fontId="15" fillId="2" borderId="0" xfId="0" applyFont="1" applyAlignment="1">
      <alignment horizontal="center"/>
    </xf>
    <xf numFmtId="0" fontId="15" fillId="2" borderId="14" xfId="0" applyFont="1" applyBorder="1" applyAlignment="1">
      <alignment horizontal="center"/>
    </xf>
    <xf numFmtId="0" fontId="9" fillId="2" borderId="0" xfId="0" applyFont="1" applyAlignment="1">
      <alignment/>
    </xf>
    <xf numFmtId="4" fontId="9" fillId="2" borderId="0" xfId="0" applyNumberFormat="1" applyFont="1" applyAlignment="1">
      <alignment/>
    </xf>
    <xf numFmtId="0" fontId="9" fillId="2" borderId="16" xfId="0" applyFont="1" applyBorder="1" applyAlignment="1">
      <alignment/>
    </xf>
    <xf numFmtId="0" fontId="9" fillId="2" borderId="15" xfId="0" applyFont="1" applyBorder="1" applyAlignment="1">
      <alignment/>
    </xf>
    <xf numFmtId="0" fontId="0" fillId="2" borderId="17" xfId="0" applyBorder="1" applyAlignment="1">
      <alignment/>
    </xf>
    <xf numFmtId="166" fontId="0" fillId="2" borderId="0" xfId="0" applyNumberFormat="1" applyAlignment="1">
      <alignment/>
    </xf>
    <xf numFmtId="0" fontId="0" fillId="2" borderId="0" xfId="0" applyBorder="1" applyAlignment="1">
      <alignment/>
    </xf>
    <xf numFmtId="0" fontId="9" fillId="2" borderId="17" xfId="0" applyFont="1" applyBorder="1" applyAlignment="1">
      <alignment/>
    </xf>
    <xf numFmtId="0" fontId="0" fillId="35" borderId="0" xfId="0" applyFont="1" applyFill="1" applyAlignment="1">
      <alignment/>
    </xf>
    <xf numFmtId="0" fontId="0" fillId="36" borderId="0" xfId="0" applyFill="1" applyAlignment="1">
      <alignment/>
    </xf>
    <xf numFmtId="2" fontId="0" fillId="36" borderId="0" xfId="0" applyNumberFormat="1" applyFill="1" applyAlignment="1">
      <alignment/>
    </xf>
    <xf numFmtId="164" fontId="0" fillId="2" borderId="0" xfId="0" applyNumberFormat="1" applyFont="1" applyAlignment="1">
      <alignment/>
    </xf>
    <xf numFmtId="0" fontId="13" fillId="35" borderId="0" xfId="0" applyFont="1" applyFill="1" applyAlignment="1">
      <alignment/>
    </xf>
    <xf numFmtId="0" fontId="15" fillId="2" borderId="14" xfId="0" applyFont="1" applyBorder="1" applyAlignment="1">
      <alignment/>
    </xf>
    <xf numFmtId="3" fontId="15" fillId="2" borderId="14" xfId="0" applyNumberFormat="1" applyFont="1" applyBorder="1" applyAlignment="1">
      <alignment horizontal="center"/>
    </xf>
    <xf numFmtId="2" fontId="0" fillId="36" borderId="0" xfId="0" applyNumberFormat="1" applyFill="1" applyBorder="1" applyAlignment="1">
      <alignment/>
    </xf>
    <xf numFmtId="43" fontId="9" fillId="0" borderId="18" xfId="42" applyNumberFormat="1" applyFont="1" applyBorder="1" applyAlignment="1">
      <alignment horizontal="left"/>
    </xf>
    <xf numFmtId="183" fontId="15" fillId="37" borderId="19" xfId="42" applyNumberFormat="1" applyFont="1" applyFill="1" applyBorder="1" applyAlignment="1">
      <alignment/>
    </xf>
    <xf numFmtId="0" fontId="16" fillId="34" borderId="20" xfId="0" applyFont="1" applyFill="1" applyBorder="1" applyAlignment="1">
      <alignment/>
    </xf>
    <xf numFmtId="43" fontId="9" fillId="0" borderId="12" xfId="42" applyNumberFormat="1" applyFont="1" applyBorder="1" applyAlignment="1">
      <alignment horizontal="left"/>
    </xf>
    <xf numFmtId="0" fontId="16" fillId="34" borderId="21" xfId="0" applyFont="1" applyFill="1" applyBorder="1" applyAlignment="1">
      <alignment/>
    </xf>
    <xf numFmtId="0" fontId="9" fillId="34" borderId="21" xfId="0" applyFont="1" applyFill="1" applyBorder="1" applyAlignment="1">
      <alignment/>
    </xf>
    <xf numFmtId="196" fontId="9" fillId="2" borderId="16" xfId="0" applyNumberFormat="1" applyFont="1" applyBorder="1" applyAlignment="1">
      <alignment/>
    </xf>
    <xf numFmtId="43" fontId="9" fillId="0" borderId="22" xfId="42" applyNumberFormat="1" applyFont="1" applyBorder="1" applyAlignment="1">
      <alignment horizontal="left"/>
    </xf>
    <xf numFmtId="43" fontId="9" fillId="0" borderId="23" xfId="42" applyNumberFormat="1" applyFont="1" applyBorder="1" applyAlignment="1">
      <alignment horizontal="left"/>
    </xf>
    <xf numFmtId="0" fontId="6" fillId="38" borderId="24" xfId="0" applyNumberFormat="1" applyFont="1" applyFill="1" applyBorder="1" applyAlignment="1">
      <alignment horizontal="center" vertical="center" wrapText="1"/>
    </xf>
    <xf numFmtId="0" fontId="15" fillId="38" borderId="25" xfId="42" applyNumberFormat="1" applyFont="1" applyFill="1" applyBorder="1" applyAlignment="1">
      <alignment horizontal="center" vertical="center" wrapText="1"/>
    </xf>
    <xf numFmtId="0" fontId="5" fillId="38" borderId="26" xfId="42" applyNumberFormat="1" applyFont="1" applyFill="1" applyBorder="1" applyAlignment="1">
      <alignment horizontal="center" vertical="center" wrapText="1"/>
    </xf>
    <xf numFmtId="0" fontId="15" fillId="38" borderId="26" xfId="42" applyNumberFormat="1" applyFont="1" applyFill="1" applyBorder="1" applyAlignment="1">
      <alignment horizontal="center" vertical="center" wrapText="1"/>
    </xf>
    <xf numFmtId="0" fontId="15" fillId="38" borderId="24" xfId="0" applyNumberFormat="1" applyFont="1" applyFill="1" applyBorder="1" applyAlignment="1">
      <alignment horizontal="center" vertical="center" wrapText="1"/>
    </xf>
    <xf numFmtId="183" fontId="15" fillId="37" borderId="27" xfId="42" applyNumberFormat="1" applyFont="1" applyFill="1" applyBorder="1" applyAlignment="1">
      <alignment/>
    </xf>
    <xf numFmtId="0" fontId="16" fillId="2" borderId="28" xfId="0" applyFont="1" applyBorder="1" applyAlignment="1">
      <alignment horizontal="center"/>
    </xf>
    <xf numFmtId="43" fontId="9" fillId="0" borderId="28" xfId="42" applyNumberFormat="1" applyFont="1" applyBorder="1" applyAlignment="1">
      <alignment horizontal="left"/>
    </xf>
    <xf numFmtId="181" fontId="9" fillId="0" borderId="28" xfId="42" applyNumberFormat="1" applyFont="1" applyBorder="1" applyAlignment="1">
      <alignment horizontal="left"/>
    </xf>
    <xf numFmtId="0" fontId="16" fillId="2" borderId="29" xfId="0" applyFont="1" applyBorder="1" applyAlignment="1">
      <alignment horizontal="center"/>
    </xf>
    <xf numFmtId="43" fontId="9" fillId="0" borderId="29" xfId="42" applyNumberFormat="1" applyFont="1" applyBorder="1" applyAlignment="1">
      <alignment horizontal="left"/>
    </xf>
    <xf numFmtId="0" fontId="9" fillId="2" borderId="29" xfId="0" applyFont="1" applyBorder="1" applyAlignment="1">
      <alignment horizontal="center"/>
    </xf>
    <xf numFmtId="43" fontId="9" fillId="0" borderId="30" xfId="42" applyNumberFormat="1" applyFont="1" applyBorder="1" applyAlignment="1">
      <alignment horizontal="left"/>
    </xf>
    <xf numFmtId="43" fontId="9" fillId="0" borderId="31" xfId="42" applyNumberFormat="1" applyFont="1" applyBorder="1" applyAlignment="1">
      <alignment horizontal="left"/>
    </xf>
    <xf numFmtId="43" fontId="9" fillId="0" borderId="28" xfId="42" applyNumberFormat="1" applyFont="1" applyBorder="1" applyAlignment="1">
      <alignment/>
    </xf>
    <xf numFmtId="183" fontId="9" fillId="0" borderId="28" xfId="42" applyNumberFormat="1" applyFont="1" applyBorder="1" applyAlignment="1">
      <alignment/>
    </xf>
    <xf numFmtId="43" fontId="9" fillId="0" borderId="29" xfId="42" applyNumberFormat="1" applyFont="1" applyBorder="1" applyAlignment="1">
      <alignment/>
    </xf>
    <xf numFmtId="183" fontId="9" fillId="0" borderId="29" xfId="42" applyNumberFormat="1" applyFont="1" applyBorder="1" applyAlignment="1">
      <alignment/>
    </xf>
    <xf numFmtId="0" fontId="9" fillId="34" borderId="20" xfId="0" applyFont="1" applyFill="1" applyBorder="1" applyAlignment="1">
      <alignment/>
    </xf>
    <xf numFmtId="0" fontId="9" fillId="2" borderId="28" xfId="0" applyFont="1" applyBorder="1" applyAlignment="1">
      <alignment horizontal="center"/>
    </xf>
    <xf numFmtId="183" fontId="9" fillId="0" borderId="28" xfId="42" applyNumberFormat="1" applyFont="1" applyBorder="1" applyAlignment="1">
      <alignment horizontal="left"/>
    </xf>
    <xf numFmtId="0" fontId="9" fillId="34" borderId="28" xfId="0" applyFont="1" applyFill="1" applyBorder="1" applyAlignment="1">
      <alignment/>
    </xf>
    <xf numFmtId="196" fontId="9" fillId="2" borderId="28" xfId="0" applyNumberFormat="1" applyFont="1" applyBorder="1" applyAlignment="1">
      <alignment/>
    </xf>
    <xf numFmtId="183" fontId="9" fillId="0" borderId="32" xfId="42" applyNumberFormat="1" applyFont="1" applyBorder="1" applyAlignment="1">
      <alignment/>
    </xf>
    <xf numFmtId="183" fontId="9" fillId="0" borderId="29" xfId="42" applyNumberFormat="1" applyFont="1" applyBorder="1" applyAlignment="1">
      <alignment horizontal="left"/>
    </xf>
    <xf numFmtId="183" fontId="9" fillId="0" borderId="27" xfId="42" applyNumberFormat="1" applyFont="1" applyBorder="1" applyAlignment="1">
      <alignment/>
    </xf>
    <xf numFmtId="196" fontId="9" fillId="2" borderId="29" xfId="0" applyNumberFormat="1" applyFont="1" applyBorder="1" applyAlignment="1">
      <alignment/>
    </xf>
    <xf numFmtId="0" fontId="15" fillId="34" borderId="33" xfId="42" applyNumberFormat="1"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15" fillId="38" borderId="34" xfId="42" applyNumberFormat="1" applyFont="1" applyFill="1" applyBorder="1" applyAlignment="1">
      <alignment horizontal="center" vertical="center" wrapText="1"/>
    </xf>
    <xf numFmtId="0" fontId="15" fillId="38" borderId="35" xfId="42" applyNumberFormat="1" applyFont="1" applyFill="1" applyBorder="1" applyAlignment="1">
      <alignment horizontal="center" vertical="center" wrapText="1"/>
    </xf>
    <xf numFmtId="0" fontId="1" fillId="38" borderId="34" xfId="0" applyNumberFormat="1" applyFont="1" applyFill="1" applyBorder="1" applyAlignment="1">
      <alignment vertical="center" wrapText="1"/>
    </xf>
    <xf numFmtId="43" fontId="9" fillId="0" borderId="36" xfId="42" applyNumberFormat="1" applyFont="1" applyBorder="1" applyAlignment="1">
      <alignment horizontal="left"/>
    </xf>
    <xf numFmtId="43" fontId="9" fillId="0" borderId="37" xfId="42" applyNumberFormat="1" applyFont="1" applyBorder="1" applyAlignment="1">
      <alignment horizontal="left"/>
    </xf>
    <xf numFmtId="0" fontId="5" fillId="38" borderId="34" xfId="42" applyNumberFormat="1" applyFont="1" applyFill="1" applyBorder="1" applyAlignment="1">
      <alignment horizontal="center" vertical="center" wrapText="1"/>
    </xf>
    <xf numFmtId="0" fontId="0" fillId="36" borderId="0" xfId="0" applyFill="1" applyAlignment="1">
      <alignment horizontal="center"/>
    </xf>
    <xf numFmtId="0" fontId="10" fillId="36" borderId="0" xfId="0" applyFont="1" applyFill="1" applyAlignment="1">
      <alignment/>
    </xf>
    <xf numFmtId="172" fontId="7" fillId="36" borderId="0" xfId="0" applyNumberFormat="1" applyFont="1" applyFill="1" applyBorder="1" applyAlignment="1">
      <alignment/>
    </xf>
    <xf numFmtId="0" fontId="7" fillId="36" borderId="0" xfId="0" applyFont="1" applyFill="1" applyBorder="1" applyAlignment="1">
      <alignment horizontal="center"/>
    </xf>
    <xf numFmtId="2" fontId="7" fillId="36" borderId="0" xfId="0" applyNumberFormat="1" applyFont="1" applyFill="1" applyBorder="1" applyAlignment="1">
      <alignment/>
    </xf>
    <xf numFmtId="166" fontId="7" fillId="36" borderId="0" xfId="0" applyNumberFormat="1" applyFont="1" applyFill="1" applyBorder="1" applyAlignment="1">
      <alignment/>
    </xf>
    <xf numFmtId="164" fontId="7" fillId="36" borderId="0" xfId="0" applyNumberFormat="1" applyFont="1" applyFill="1" applyBorder="1" applyAlignment="1">
      <alignment/>
    </xf>
    <xf numFmtId="0" fontId="9" fillId="36" borderId="0" xfId="0" applyFont="1" applyFill="1" applyBorder="1" applyAlignment="1">
      <alignment/>
    </xf>
    <xf numFmtId="0" fontId="0" fillId="36" borderId="0" xfId="0" applyFill="1" applyBorder="1" applyAlignment="1">
      <alignment/>
    </xf>
    <xf numFmtId="0" fontId="5" fillId="2" borderId="10" xfId="0" applyFont="1" applyBorder="1" applyAlignment="1">
      <alignment/>
    </xf>
    <xf numFmtId="0" fontId="13" fillId="39" borderId="0" xfId="0" applyFont="1" applyFill="1" applyAlignment="1">
      <alignment/>
    </xf>
    <xf numFmtId="0" fontId="14" fillId="39" borderId="0" xfId="0" applyFont="1" applyFill="1" applyAlignment="1">
      <alignment/>
    </xf>
    <xf numFmtId="0" fontId="13" fillId="35" borderId="0" xfId="0" applyFont="1" applyFill="1" applyAlignment="1">
      <alignment horizontal="center"/>
    </xf>
    <xf numFmtId="0" fontId="18" fillId="2" borderId="0" xfId="0" applyFont="1" applyAlignment="1">
      <alignment horizontal="center"/>
    </xf>
    <xf numFmtId="0" fontId="0" fillId="2" borderId="0" xfId="0" applyFont="1" applyAlignment="1">
      <alignment horizontal="left"/>
    </xf>
    <xf numFmtId="0" fontId="0" fillId="2" borderId="0" xfId="0" applyFont="1" applyAlignment="1">
      <alignment horizontal="center" vertical="top" wrapText="1"/>
    </xf>
    <xf numFmtId="0" fontId="19" fillId="2" borderId="0" xfId="0" applyFont="1" applyAlignment="1">
      <alignment horizontal="center"/>
    </xf>
    <xf numFmtId="0" fontId="20" fillId="2" borderId="0" xfId="0" applyFont="1" applyAlignment="1">
      <alignment horizontal="left"/>
    </xf>
    <xf numFmtId="0" fontId="6" fillId="2" borderId="0" xfId="0" applyFont="1" applyAlignment="1">
      <alignment horizontal="left"/>
    </xf>
    <xf numFmtId="166" fontId="7" fillId="0" borderId="0" xfId="0" applyNumberFormat="1" applyFont="1" applyFill="1" applyBorder="1" applyAlignment="1">
      <alignment/>
    </xf>
    <xf numFmtId="2" fontId="7" fillId="2" borderId="0" xfId="0" applyNumberFormat="1" applyFont="1" applyBorder="1" applyAlignment="1">
      <alignment/>
    </xf>
    <xf numFmtId="166" fontId="7" fillId="2" borderId="0" xfId="0" applyNumberFormat="1" applyFont="1" applyBorder="1" applyAlignment="1">
      <alignment/>
    </xf>
    <xf numFmtId="172" fontId="7" fillId="2" borderId="0" xfId="0" applyNumberFormat="1" applyFont="1" applyBorder="1" applyAlignment="1">
      <alignment/>
    </xf>
    <xf numFmtId="0" fontId="7" fillId="2" borderId="0" xfId="0" applyFont="1" applyBorder="1" applyAlignment="1">
      <alignment horizontal="center"/>
    </xf>
    <xf numFmtId="164" fontId="7" fillId="2" borderId="0" xfId="0" applyNumberFormat="1" applyFont="1" applyBorder="1" applyAlignment="1">
      <alignment/>
    </xf>
    <xf numFmtId="164" fontId="5" fillId="2" borderId="0" xfId="0" applyNumberFormat="1" applyFont="1" applyBorder="1" applyAlignment="1">
      <alignment/>
    </xf>
    <xf numFmtId="0" fontId="5" fillId="2" borderId="0" xfId="0" applyFont="1" applyAlignment="1">
      <alignment/>
    </xf>
    <xf numFmtId="49" fontId="9" fillId="0" borderId="0" xfId="0" applyNumberFormat="1" applyFont="1" applyFill="1" applyBorder="1" applyAlignment="1">
      <alignment/>
    </xf>
    <xf numFmtId="10" fontId="14" fillId="2" borderId="0" xfId="0" applyNumberFormat="1" applyFont="1" applyAlignment="1">
      <alignment/>
    </xf>
    <xf numFmtId="10" fontId="14" fillId="2" borderId="0" xfId="59" applyNumberFormat="1" applyFont="1" applyFill="1" applyAlignment="1">
      <alignment/>
    </xf>
    <xf numFmtId="0" fontId="0" fillId="36" borderId="0" xfId="0" applyFont="1" applyFill="1" applyAlignment="1">
      <alignment/>
    </xf>
    <xf numFmtId="0" fontId="0" fillId="36" borderId="0" xfId="0" applyFont="1" applyFill="1" applyBorder="1" applyAlignment="1">
      <alignment/>
    </xf>
    <xf numFmtId="3" fontId="0" fillId="36" borderId="0" xfId="0" applyNumberFormat="1" applyFill="1" applyBorder="1" applyAlignment="1">
      <alignment/>
    </xf>
    <xf numFmtId="164" fontId="0" fillId="36" borderId="0" xfId="0" applyNumberFormat="1" applyFill="1" applyBorder="1" applyAlignment="1">
      <alignment/>
    </xf>
    <xf numFmtId="164" fontId="0" fillId="36" borderId="0" xfId="0" applyNumberFormat="1" applyFont="1" applyFill="1" applyBorder="1" applyAlignment="1">
      <alignment/>
    </xf>
    <xf numFmtId="164" fontId="7" fillId="36" borderId="0" xfId="0" applyNumberFormat="1" applyFont="1" applyFill="1" applyBorder="1" applyAlignment="1">
      <alignment/>
    </xf>
    <xf numFmtId="0" fontId="13" fillId="36" borderId="0" xfId="0" applyFont="1" applyFill="1" applyAlignment="1">
      <alignment/>
    </xf>
    <xf numFmtId="0" fontId="14" fillId="36" borderId="0" xfId="0" applyFont="1" applyFill="1" applyAlignment="1">
      <alignment/>
    </xf>
    <xf numFmtId="165" fontId="7" fillId="36" borderId="0" xfId="0" applyNumberFormat="1" applyFont="1" applyFill="1" applyBorder="1" applyAlignment="1">
      <alignment/>
    </xf>
    <xf numFmtId="0" fontId="7" fillId="36" borderId="0" xfId="0" applyFont="1" applyFill="1" applyBorder="1" applyAlignment="1">
      <alignment/>
    </xf>
    <xf numFmtId="0" fontId="5" fillId="0" borderId="0" xfId="0" applyFont="1" applyFill="1" applyBorder="1" applyAlignment="1">
      <alignment/>
    </xf>
    <xf numFmtId="0" fontId="21" fillId="2" borderId="0" xfId="0" applyFont="1" applyBorder="1" applyAlignment="1">
      <alignment/>
    </xf>
    <xf numFmtId="164" fontId="7" fillId="0" borderId="0" xfId="0" applyNumberFormat="1" applyFont="1" applyFill="1" applyBorder="1" applyAlignment="1">
      <alignment/>
    </xf>
    <xf numFmtId="0" fontId="13" fillId="35" borderId="0" xfId="0" applyFont="1" applyFill="1" applyBorder="1" applyAlignment="1">
      <alignment/>
    </xf>
    <xf numFmtId="164" fontId="13" fillId="35" borderId="0" xfId="0" applyNumberFormat="1" applyFont="1" applyFill="1" applyBorder="1" applyAlignment="1">
      <alignment/>
    </xf>
    <xf numFmtId="10" fontId="13" fillId="35" borderId="0" xfId="59" applyNumberFormat="1" applyFont="1" applyFill="1" applyBorder="1" applyAlignment="1">
      <alignment/>
    </xf>
    <xf numFmtId="0" fontId="5" fillId="36" borderId="0" xfId="0" applyFont="1" applyFill="1" applyBorder="1" applyAlignment="1">
      <alignment horizontal="center"/>
    </xf>
    <xf numFmtId="0" fontId="7" fillId="39" borderId="0" xfId="0" applyFont="1" applyFill="1" applyBorder="1" applyAlignment="1">
      <alignment/>
    </xf>
    <xf numFmtId="0" fontId="24" fillId="2" borderId="0" xfId="0" applyFont="1" applyAlignment="1">
      <alignment/>
    </xf>
    <xf numFmtId="0" fontId="25" fillId="2" borderId="38" xfId="0" applyFont="1" applyBorder="1" applyAlignment="1">
      <alignment/>
    </xf>
    <xf numFmtId="0" fontId="7" fillId="2" borderId="38" xfId="0" applyFont="1" applyBorder="1" applyAlignment="1">
      <alignment/>
    </xf>
    <xf numFmtId="0" fontId="26" fillId="2" borderId="38" xfId="0" applyFont="1" applyBorder="1" applyAlignment="1">
      <alignment/>
    </xf>
    <xf numFmtId="0" fontId="27" fillId="2" borderId="38" xfId="0" applyFont="1" applyBorder="1" applyAlignment="1">
      <alignment/>
    </xf>
    <xf numFmtId="0" fontId="28" fillId="2" borderId="38" xfId="0" applyFont="1" applyBorder="1" applyAlignment="1">
      <alignment/>
    </xf>
    <xf numFmtId="0" fontId="29" fillId="2" borderId="38" xfId="0" applyFont="1" applyBorder="1" applyAlignment="1">
      <alignment/>
    </xf>
    <xf numFmtId="0" fontId="7" fillId="2" borderId="16" xfId="0" applyFont="1" applyBorder="1" applyAlignment="1">
      <alignment/>
    </xf>
    <xf numFmtId="0" fontId="30" fillId="2" borderId="16" xfId="0" applyFont="1" applyBorder="1" applyAlignment="1">
      <alignment horizontal="left"/>
    </xf>
    <xf numFmtId="0" fontId="8" fillId="2" borderId="16" xfId="0" applyFont="1" applyBorder="1" applyAlignment="1">
      <alignment horizontal="center"/>
    </xf>
    <xf numFmtId="0" fontId="31" fillId="2" borderId="16" xfId="0" applyFont="1" applyBorder="1" applyAlignment="1">
      <alignment horizontal="left"/>
    </xf>
    <xf numFmtId="0" fontId="32" fillId="2" borderId="16" xfId="0" applyFont="1" applyBorder="1" applyAlignment="1">
      <alignment horizontal="left"/>
    </xf>
    <xf numFmtId="0" fontId="33" fillId="2" borderId="16" xfId="0" applyFont="1" applyBorder="1" applyAlignment="1">
      <alignment horizontal="left"/>
    </xf>
    <xf numFmtId="0" fontId="5" fillId="2" borderId="16" xfId="0" applyFont="1" applyBorder="1" applyAlignment="1">
      <alignment horizontal="center"/>
    </xf>
    <xf numFmtId="0" fontId="30" fillId="2" borderId="0" xfId="0" applyFont="1" applyBorder="1" applyAlignment="1">
      <alignment horizontal="left"/>
    </xf>
    <xf numFmtId="0" fontId="8" fillId="2" borderId="0" xfId="0" applyFont="1" applyBorder="1" applyAlignment="1">
      <alignment horizontal="center"/>
    </xf>
    <xf numFmtId="0" fontId="31" fillId="2" borderId="0" xfId="0" applyFont="1" applyBorder="1" applyAlignment="1">
      <alignment horizontal="left"/>
    </xf>
    <xf numFmtId="0" fontId="32" fillId="2" borderId="0" xfId="0" applyFont="1" applyBorder="1" applyAlignment="1">
      <alignment horizontal="left"/>
    </xf>
    <xf numFmtId="0" fontId="33" fillId="2" borderId="0" xfId="0" applyFont="1" applyBorder="1" applyAlignment="1">
      <alignment horizontal="left"/>
    </xf>
    <xf numFmtId="0" fontId="5" fillId="2" borderId="0" xfId="0" applyFont="1" applyBorder="1" applyAlignment="1">
      <alignment horizontal="center"/>
    </xf>
    <xf numFmtId="164" fontId="7" fillId="2" borderId="0" xfId="0" applyNumberFormat="1" applyFont="1" applyAlignment="1">
      <alignment/>
    </xf>
    <xf numFmtId="165" fontId="7" fillId="2" borderId="0" xfId="0" applyNumberFormat="1" applyFont="1" applyAlignment="1">
      <alignment/>
    </xf>
    <xf numFmtId="0" fontId="7" fillId="2" borderId="0" xfId="0" applyFont="1" applyAlignment="1">
      <alignment horizontal="center"/>
    </xf>
    <xf numFmtId="2" fontId="7" fillId="2" borderId="0" xfId="0" applyNumberFormat="1" applyFont="1" applyAlignment="1">
      <alignment/>
    </xf>
    <xf numFmtId="166" fontId="7" fillId="2" borderId="0" xfId="0" applyNumberFormat="1" applyFont="1" applyAlignment="1">
      <alignment/>
    </xf>
    <xf numFmtId="164" fontId="7" fillId="0" borderId="0" xfId="0" applyNumberFormat="1" applyFont="1" applyFill="1" applyAlignment="1">
      <alignment/>
    </xf>
    <xf numFmtId="2" fontId="7" fillId="0" borderId="0" xfId="0" applyNumberFormat="1" applyFont="1" applyFill="1" applyAlignment="1">
      <alignment/>
    </xf>
    <xf numFmtId="166" fontId="7" fillId="0" borderId="0" xfId="0" applyNumberFormat="1" applyFont="1" applyFill="1" applyAlignment="1">
      <alignment/>
    </xf>
    <xf numFmtId="164" fontId="24" fillId="2" borderId="0" xfId="0" applyNumberFormat="1" applyFont="1" applyAlignment="1">
      <alignment/>
    </xf>
    <xf numFmtId="0" fontId="21" fillId="2" borderId="0" xfId="0" applyFont="1" applyAlignment="1">
      <alignment/>
    </xf>
    <xf numFmtId="164" fontId="5" fillId="2" borderId="0" xfId="0" applyNumberFormat="1" applyFont="1" applyAlignment="1">
      <alignment/>
    </xf>
    <xf numFmtId="2" fontId="22" fillId="0" borderId="0" xfId="0" applyNumberFormat="1" applyFont="1" applyFill="1" applyAlignment="1">
      <alignment/>
    </xf>
    <xf numFmtId="164" fontId="23" fillId="0" borderId="0" xfId="0" applyNumberFormat="1" applyFont="1" applyFill="1" applyAlignment="1">
      <alignment/>
    </xf>
    <xf numFmtId="0" fontId="5" fillId="2" borderId="38" xfId="0" applyFont="1" applyBorder="1" applyAlignment="1">
      <alignment horizontal="center"/>
    </xf>
    <xf numFmtId="0" fontId="5" fillId="36" borderId="38" xfId="0" applyFont="1" applyFill="1" applyBorder="1" applyAlignment="1">
      <alignment horizontal="center"/>
    </xf>
    <xf numFmtId="0" fontId="5" fillId="36" borderId="16" xfId="0" applyFont="1" applyFill="1" applyBorder="1" applyAlignment="1">
      <alignment horizontal="center"/>
    </xf>
    <xf numFmtId="4" fontId="7" fillId="0" borderId="0" xfId="0" applyNumberFormat="1" applyFont="1" applyFill="1" applyAlignment="1">
      <alignment/>
    </xf>
    <xf numFmtId="3" fontId="7" fillId="0" borderId="0" xfId="0" applyNumberFormat="1" applyFont="1" applyFill="1" applyAlignment="1">
      <alignment horizontal="center" vertical="center"/>
    </xf>
    <xf numFmtId="0" fontId="30" fillId="35" borderId="0" xfId="0" applyFont="1" applyFill="1" applyBorder="1" applyAlignment="1">
      <alignment horizontal="left"/>
    </xf>
    <xf numFmtId="0" fontId="8" fillId="35" borderId="0" xfId="0" applyFont="1" applyFill="1" applyBorder="1" applyAlignment="1">
      <alignment horizontal="center"/>
    </xf>
    <xf numFmtId="0" fontId="7" fillId="35" borderId="0" xfId="0" applyFont="1" applyFill="1" applyBorder="1" applyAlignment="1">
      <alignment/>
    </xf>
    <xf numFmtId="0" fontId="31" fillId="35" borderId="0" xfId="0" applyFont="1" applyFill="1" applyBorder="1" applyAlignment="1">
      <alignment horizontal="left"/>
    </xf>
    <xf numFmtId="0" fontId="32" fillId="35" borderId="0" xfId="0" applyFont="1" applyFill="1" applyBorder="1" applyAlignment="1">
      <alignment horizontal="left"/>
    </xf>
    <xf numFmtId="0" fontId="33" fillId="35" borderId="0" xfId="0" applyFont="1" applyFill="1" applyBorder="1" applyAlignment="1">
      <alignment horizontal="left"/>
    </xf>
    <xf numFmtId="0" fontId="5" fillId="35" borderId="0" xfId="0" applyFont="1" applyFill="1" applyBorder="1" applyAlignment="1">
      <alignment horizontal="center"/>
    </xf>
    <xf numFmtId="0" fontId="34" fillId="35" borderId="0" xfId="0" applyFont="1" applyFill="1" applyBorder="1" applyAlignment="1">
      <alignment horizontal="center"/>
    </xf>
    <xf numFmtId="0" fontId="7" fillId="35" borderId="15" xfId="0" applyFont="1" applyFill="1" applyBorder="1" applyAlignment="1">
      <alignment/>
    </xf>
    <xf numFmtId="2" fontId="7" fillId="35" borderId="15" xfId="0" applyNumberFormat="1" applyFont="1" applyFill="1" applyBorder="1" applyAlignment="1">
      <alignment/>
    </xf>
    <xf numFmtId="166" fontId="7" fillId="35" borderId="15" xfId="0" applyNumberFormat="1" applyFont="1" applyFill="1" applyBorder="1" applyAlignment="1">
      <alignment/>
    </xf>
    <xf numFmtId="0" fontId="7" fillId="39" borderId="15" xfId="0" applyFont="1" applyFill="1" applyBorder="1" applyAlignment="1">
      <alignment/>
    </xf>
    <xf numFmtId="2" fontId="7" fillId="39" borderId="15" xfId="0" applyNumberFormat="1" applyFont="1" applyFill="1" applyBorder="1" applyAlignment="1">
      <alignment/>
    </xf>
    <xf numFmtId="166" fontId="7" fillId="39" borderId="15" xfId="0" applyNumberFormat="1" applyFont="1" applyFill="1" applyBorder="1" applyAlignment="1">
      <alignment/>
    </xf>
    <xf numFmtId="164" fontId="7" fillId="39" borderId="15" xfId="0" applyNumberFormat="1" applyFont="1" applyFill="1" applyBorder="1" applyAlignment="1">
      <alignment/>
    </xf>
    <xf numFmtId="0" fontId="7" fillId="39" borderId="15" xfId="0" applyFont="1" applyFill="1" applyBorder="1" applyAlignment="1">
      <alignment horizontal="center"/>
    </xf>
    <xf numFmtId="0" fontId="0" fillId="39" borderId="0" xfId="0" applyFill="1" applyBorder="1" applyAlignment="1">
      <alignment/>
    </xf>
    <xf numFmtId="164" fontId="5" fillId="39" borderId="15" xfId="0" applyNumberFormat="1" applyFont="1" applyFill="1" applyBorder="1" applyAlignment="1">
      <alignment/>
    </xf>
    <xf numFmtId="0" fontId="21" fillId="35" borderId="16" xfId="0" applyFont="1" applyFill="1" applyBorder="1" applyAlignment="1">
      <alignment/>
    </xf>
    <xf numFmtId="0" fontId="7" fillId="35" borderId="16" xfId="0" applyFont="1" applyFill="1" applyBorder="1" applyAlignment="1">
      <alignment/>
    </xf>
    <xf numFmtId="2" fontId="7" fillId="35" borderId="16" xfId="0" applyNumberFormat="1" applyFont="1" applyFill="1" applyBorder="1" applyAlignment="1">
      <alignment/>
    </xf>
    <xf numFmtId="166" fontId="7" fillId="35" borderId="16" xfId="0" applyNumberFormat="1" applyFont="1" applyFill="1" applyBorder="1" applyAlignment="1">
      <alignment/>
    </xf>
    <xf numFmtId="164" fontId="5" fillId="35" borderId="15" xfId="0" applyNumberFormat="1" applyFont="1" applyFill="1" applyBorder="1" applyAlignment="1">
      <alignment/>
    </xf>
    <xf numFmtId="164" fontId="5" fillId="35" borderId="16" xfId="0" applyNumberFormat="1" applyFont="1" applyFill="1" applyBorder="1" applyAlignment="1">
      <alignment/>
    </xf>
    <xf numFmtId="0" fontId="5" fillId="35" borderId="16" xfId="0" applyFont="1" applyFill="1" applyBorder="1" applyAlignment="1">
      <alignment horizontal="center"/>
    </xf>
    <xf numFmtId="2" fontId="5" fillId="35" borderId="16" xfId="0" applyNumberFormat="1" applyFont="1" applyFill="1" applyBorder="1" applyAlignment="1">
      <alignment/>
    </xf>
    <xf numFmtId="0" fontId="0" fillId="39" borderId="0" xfId="0" applyFill="1" applyAlignment="1">
      <alignment/>
    </xf>
    <xf numFmtId="2" fontId="22" fillId="39" borderId="15" xfId="0" applyNumberFormat="1" applyFont="1" applyFill="1" applyBorder="1" applyAlignment="1">
      <alignment/>
    </xf>
    <xf numFmtId="164" fontId="23" fillId="39" borderId="15" xfId="0" applyNumberFormat="1" applyFont="1" applyFill="1" applyBorder="1" applyAlignment="1">
      <alignment/>
    </xf>
    <xf numFmtId="0" fontId="0" fillId="35" borderId="0" xfId="0" applyFill="1" applyAlignment="1">
      <alignment/>
    </xf>
    <xf numFmtId="0" fontId="21" fillId="35" borderId="15" xfId="0" applyFont="1" applyFill="1" applyBorder="1" applyAlignment="1">
      <alignment/>
    </xf>
    <xf numFmtId="0" fontId="21" fillId="36" borderId="0" xfId="0" applyFont="1" applyFill="1" applyBorder="1" applyAlignment="1">
      <alignment/>
    </xf>
    <xf numFmtId="0" fontId="24" fillId="36" borderId="0" xfId="0" applyFont="1" applyFill="1" applyBorder="1" applyAlignment="1">
      <alignment/>
    </xf>
    <xf numFmtId="0" fontId="5" fillId="35" borderId="15" xfId="0" applyFont="1" applyFill="1" applyBorder="1" applyAlignment="1">
      <alignment horizontal="center"/>
    </xf>
    <xf numFmtId="2" fontId="5" fillId="35" borderId="15" xfId="0" applyNumberFormat="1" applyFont="1" applyFill="1" applyBorder="1" applyAlignment="1">
      <alignment/>
    </xf>
    <xf numFmtId="164" fontId="5" fillId="36" borderId="0" xfId="0" applyNumberFormat="1" applyFont="1" applyFill="1" applyBorder="1" applyAlignment="1">
      <alignment/>
    </xf>
    <xf numFmtId="166" fontId="5" fillId="36" borderId="0" xfId="0" applyNumberFormat="1" applyFont="1" applyFill="1" applyBorder="1" applyAlignment="1">
      <alignment/>
    </xf>
    <xf numFmtId="172" fontId="5" fillId="36" borderId="0" xfId="0" applyNumberFormat="1" applyFont="1" applyFill="1" applyBorder="1" applyAlignment="1">
      <alignment/>
    </xf>
    <xf numFmtId="165" fontId="5" fillId="36" borderId="0" xfId="0" applyNumberFormat="1" applyFont="1" applyFill="1" applyBorder="1" applyAlignment="1">
      <alignment/>
    </xf>
    <xf numFmtId="0" fontId="5" fillId="36" borderId="0" xfId="0" applyFont="1" applyFill="1" applyBorder="1" applyAlignment="1">
      <alignment/>
    </xf>
    <xf numFmtId="166" fontId="5" fillId="39" borderId="15" xfId="0" applyNumberFormat="1" applyFont="1" applyFill="1" applyBorder="1" applyAlignment="1">
      <alignment/>
    </xf>
    <xf numFmtId="172" fontId="5" fillId="39" borderId="15" xfId="0" applyNumberFormat="1" applyFont="1" applyFill="1" applyBorder="1" applyAlignment="1">
      <alignment/>
    </xf>
    <xf numFmtId="165" fontId="5" fillId="39" borderId="15" xfId="0" applyNumberFormat="1" applyFont="1" applyFill="1" applyBorder="1" applyAlignment="1">
      <alignment/>
    </xf>
    <xf numFmtId="0" fontId="14" fillId="39" borderId="0" xfId="0" applyFont="1" applyFill="1" applyAlignment="1">
      <alignment/>
    </xf>
    <xf numFmtId="4" fontId="7" fillId="39" borderId="15" xfId="0" applyNumberFormat="1" applyFont="1" applyFill="1" applyBorder="1" applyAlignment="1">
      <alignment/>
    </xf>
    <xf numFmtId="4" fontId="13" fillId="35" borderId="0" xfId="0" applyNumberFormat="1" applyFont="1" applyFill="1" applyBorder="1" applyAlignment="1">
      <alignment horizontal="right"/>
    </xf>
    <xf numFmtId="10" fontId="13" fillId="35" borderId="0" xfId="59" applyNumberFormat="1" applyFont="1" applyFill="1" applyAlignment="1">
      <alignment/>
    </xf>
    <xf numFmtId="164" fontId="7" fillId="36" borderId="0" xfId="0" applyNumberFormat="1" applyFont="1" applyFill="1" applyAlignment="1">
      <alignment/>
    </xf>
    <xf numFmtId="0" fontId="7" fillId="36" borderId="0" xfId="0" applyFont="1" applyFill="1" applyAlignment="1">
      <alignment horizontal="center"/>
    </xf>
    <xf numFmtId="2" fontId="7" fillId="36" borderId="0" xfId="0" applyNumberFormat="1" applyFont="1" applyFill="1" applyAlignment="1">
      <alignment/>
    </xf>
    <xf numFmtId="166" fontId="7" fillId="36" borderId="0" xfId="0" applyNumberFormat="1" applyFont="1" applyFill="1" applyAlignment="1">
      <alignment/>
    </xf>
    <xf numFmtId="0" fontId="7" fillId="36" borderId="16" xfId="0" applyFont="1" applyFill="1" applyBorder="1" applyAlignment="1">
      <alignment/>
    </xf>
    <xf numFmtId="164" fontId="7" fillId="36" borderId="16" xfId="0" applyNumberFormat="1" applyFont="1" applyFill="1" applyBorder="1" applyAlignment="1">
      <alignment/>
    </xf>
    <xf numFmtId="2" fontId="7" fillId="36" borderId="16" xfId="0" applyNumberFormat="1" applyFont="1" applyFill="1" applyBorder="1" applyAlignment="1">
      <alignment/>
    </xf>
    <xf numFmtId="0" fontId="7" fillId="36" borderId="0" xfId="0" applyFont="1" applyFill="1" applyAlignment="1">
      <alignment/>
    </xf>
    <xf numFmtId="0" fontId="21" fillId="35" borderId="0" xfId="0" applyFont="1" applyFill="1" applyBorder="1" applyAlignment="1">
      <alignment/>
    </xf>
    <xf numFmtId="4" fontId="5" fillId="35" borderId="15" xfId="0" applyNumberFormat="1" applyFont="1" applyFill="1" applyBorder="1" applyAlignment="1">
      <alignment/>
    </xf>
    <xf numFmtId="3" fontId="7" fillId="36" borderId="0" xfId="0" applyNumberFormat="1" applyFont="1" applyFill="1" applyAlignment="1">
      <alignment horizontal="center" vertical="center"/>
    </xf>
    <xf numFmtId="0" fontId="15" fillId="36" borderId="0" xfId="0" applyFont="1" applyFill="1" applyAlignment="1">
      <alignment/>
    </xf>
    <xf numFmtId="0" fontId="9" fillId="36" borderId="0" xfId="0" applyFont="1" applyFill="1" applyAlignment="1">
      <alignment/>
    </xf>
    <xf numFmtId="164" fontId="15" fillId="36" borderId="0" xfId="0" applyNumberFormat="1" applyFont="1" applyFill="1" applyAlignment="1">
      <alignment/>
    </xf>
    <xf numFmtId="0" fontId="9" fillId="36" borderId="15" xfId="0" applyFont="1" applyFill="1" applyBorder="1" applyAlignment="1">
      <alignment/>
    </xf>
    <xf numFmtId="4" fontId="9" fillId="36" borderId="0" xfId="0" applyNumberFormat="1" applyFont="1" applyFill="1" applyAlignment="1">
      <alignment/>
    </xf>
    <xf numFmtId="0" fontId="0" fillId="2" borderId="0" xfId="0" applyFont="1" applyAlignment="1">
      <alignment horizontal="center"/>
    </xf>
    <xf numFmtId="0" fontId="15" fillId="2" borderId="0" xfId="0" applyFont="1" applyBorder="1" applyAlignment="1">
      <alignment/>
    </xf>
    <xf numFmtId="0" fontId="15" fillId="2" borderId="0" xfId="0" applyFont="1" applyBorder="1" applyAlignment="1">
      <alignment horizontal="center"/>
    </xf>
    <xf numFmtId="0" fontId="36" fillId="2" borderId="0" xfId="0" applyFont="1" applyBorder="1" applyAlignment="1">
      <alignment/>
    </xf>
    <xf numFmtId="0" fontId="9" fillId="40" borderId="0" xfId="0" applyFont="1" applyFill="1" applyAlignment="1">
      <alignment/>
    </xf>
    <xf numFmtId="0" fontId="36" fillId="40" borderId="0" xfId="0" applyFont="1" applyFill="1" applyAlignment="1">
      <alignment/>
    </xf>
    <xf numFmtId="0" fontId="36" fillId="36" borderId="0" xfId="0" applyFont="1" applyFill="1" applyAlignment="1">
      <alignment/>
    </xf>
    <xf numFmtId="164" fontId="36" fillId="40" borderId="0" xfId="0" applyNumberFormat="1" applyFont="1" applyFill="1" applyAlignment="1">
      <alignment/>
    </xf>
    <xf numFmtId="164" fontId="36" fillId="36" borderId="0" xfId="0" applyNumberFormat="1" applyFont="1" applyFill="1" applyAlignment="1">
      <alignment/>
    </xf>
    <xf numFmtId="0" fontId="6" fillId="35" borderId="15" xfId="0" applyFont="1" applyFill="1" applyBorder="1" applyAlignment="1">
      <alignment/>
    </xf>
    <xf numFmtId="0" fontId="0" fillId="35" borderId="15" xfId="0" applyFill="1" applyBorder="1" applyAlignment="1">
      <alignment/>
    </xf>
    <xf numFmtId="164" fontId="15" fillId="35" borderId="15" xfId="0" applyNumberFormat="1" applyFont="1" applyFill="1" applyBorder="1" applyAlignment="1">
      <alignment/>
    </xf>
    <xf numFmtId="0" fontId="6" fillId="35" borderId="0" xfId="0" applyFont="1" applyFill="1" applyBorder="1" applyAlignment="1">
      <alignment/>
    </xf>
    <xf numFmtId="0" fontId="0" fillId="35" borderId="0" xfId="0" applyFill="1" applyBorder="1" applyAlignment="1">
      <alignment/>
    </xf>
    <xf numFmtId="0" fontId="6" fillId="36" borderId="0" xfId="0" applyFont="1" applyFill="1" applyBorder="1" applyAlignment="1">
      <alignment/>
    </xf>
    <xf numFmtId="164" fontId="15" fillId="36" borderId="0" xfId="0" applyNumberFormat="1" applyFont="1" applyFill="1" applyBorder="1" applyAlignment="1">
      <alignment/>
    </xf>
    <xf numFmtId="0" fontId="15" fillId="36" borderId="0" xfId="0" applyFont="1" applyFill="1" applyBorder="1" applyAlignment="1">
      <alignment/>
    </xf>
    <xf numFmtId="0" fontId="15" fillId="39" borderId="15" xfId="0" applyFont="1" applyFill="1" applyBorder="1" applyAlignment="1">
      <alignment/>
    </xf>
    <xf numFmtId="0" fontId="0" fillId="39" borderId="15" xfId="0" applyFill="1" applyBorder="1" applyAlignment="1">
      <alignment/>
    </xf>
    <xf numFmtId="0" fontId="13" fillId="2" borderId="0" xfId="0" applyFont="1" applyAlignment="1">
      <alignment/>
    </xf>
    <xf numFmtId="0" fontId="6" fillId="39" borderId="0" xfId="0" applyFont="1" applyFill="1" applyAlignment="1">
      <alignment/>
    </xf>
    <xf numFmtId="0" fontId="6" fillId="39" borderId="0" xfId="0" applyFont="1" applyFill="1" applyAlignment="1">
      <alignment horizontal="left"/>
    </xf>
    <xf numFmtId="0" fontId="6" fillId="35" borderId="0" xfId="0" applyFont="1" applyFill="1" applyAlignment="1">
      <alignment/>
    </xf>
    <xf numFmtId="43" fontId="6" fillId="35" borderId="0" xfId="42" applyNumberFormat="1" applyFont="1" applyFill="1" applyAlignment="1">
      <alignment/>
    </xf>
    <xf numFmtId="0" fontId="6" fillId="35" borderId="0" xfId="0" applyFont="1" applyFill="1" applyAlignment="1">
      <alignment horizontal="left"/>
    </xf>
    <xf numFmtId="43" fontId="0" fillId="35" borderId="0" xfId="42" applyFont="1" applyFill="1" applyAlignment="1">
      <alignment/>
    </xf>
    <xf numFmtId="0" fontId="0" fillId="35" borderId="0" xfId="0" applyFont="1" applyFill="1" applyBorder="1" applyAlignment="1">
      <alignment/>
    </xf>
    <xf numFmtId="0" fontId="6" fillId="39" borderId="0" xfId="0" applyFont="1" applyFill="1" applyBorder="1" applyAlignment="1">
      <alignment/>
    </xf>
    <xf numFmtId="0" fontId="0" fillId="39" borderId="0" xfId="0" applyFont="1" applyFill="1" applyBorder="1" applyAlignment="1">
      <alignment/>
    </xf>
    <xf numFmtId="43" fontId="6" fillId="39" borderId="0" xfId="42" applyFont="1" applyFill="1" applyBorder="1" applyAlignment="1">
      <alignment/>
    </xf>
    <xf numFmtId="0" fontId="0" fillId="39" borderId="0" xfId="0" applyFont="1" applyFill="1" applyAlignment="1">
      <alignment horizontal="left"/>
    </xf>
    <xf numFmtId="0" fontId="0" fillId="35" borderId="0" xfId="0" applyFont="1" applyFill="1" applyAlignment="1">
      <alignment horizontal="left"/>
    </xf>
    <xf numFmtId="4" fontId="0" fillId="35" borderId="0" xfId="0" applyNumberFormat="1" applyFont="1" applyFill="1" applyAlignment="1">
      <alignment horizontal="right"/>
    </xf>
    <xf numFmtId="0" fontId="6" fillId="39" borderId="0" xfId="0" applyFont="1" applyFill="1" applyAlignment="1">
      <alignment horizontal="center"/>
    </xf>
    <xf numFmtId="3" fontId="6" fillId="39" borderId="0" xfId="0" applyNumberFormat="1" applyFont="1" applyFill="1" applyAlignment="1">
      <alignment horizontal="right"/>
    </xf>
    <xf numFmtId="9" fontId="0" fillId="39" borderId="0" xfId="59" applyFont="1" applyFill="1" applyAlignment="1">
      <alignment/>
    </xf>
    <xf numFmtId="3" fontId="0" fillId="39" borderId="0" xfId="0" applyNumberFormat="1" applyFont="1" applyFill="1" applyAlignment="1">
      <alignment horizontal="right"/>
    </xf>
    <xf numFmtId="9" fontId="0" fillId="39" borderId="0" xfId="59" applyFont="1" applyFill="1" applyBorder="1" applyAlignment="1">
      <alignment/>
    </xf>
    <xf numFmtId="0" fontId="0" fillId="38" borderId="38" xfId="0" applyFill="1" applyBorder="1" applyAlignment="1">
      <alignment/>
    </xf>
    <xf numFmtId="0" fontId="6" fillId="38" borderId="16" xfId="0" applyFont="1" applyFill="1" applyBorder="1" applyAlignment="1">
      <alignment/>
    </xf>
    <xf numFmtId="0" fontId="0" fillId="38" borderId="16" xfId="0" applyFill="1" applyBorder="1" applyAlignment="1">
      <alignment/>
    </xf>
    <xf numFmtId="43" fontId="6" fillId="38" borderId="16" xfId="0" applyNumberFormat="1" applyFont="1" applyFill="1" applyBorder="1" applyAlignment="1">
      <alignment/>
    </xf>
    <xf numFmtId="0" fontId="6" fillId="38" borderId="16" xfId="0" applyFont="1" applyFill="1" applyBorder="1" applyAlignment="1">
      <alignment horizontal="left"/>
    </xf>
    <xf numFmtId="183" fontId="15" fillId="37" borderId="39" xfId="42" applyNumberFormat="1" applyFont="1" applyFill="1" applyBorder="1" applyAlignment="1">
      <alignment/>
    </xf>
    <xf numFmtId="164" fontId="0" fillId="41" borderId="29" xfId="0" applyNumberFormat="1" applyFill="1" applyBorder="1" applyAlignment="1">
      <alignment/>
    </xf>
    <xf numFmtId="7" fontId="14" fillId="0" borderId="0" xfId="44" applyNumberFormat="1" applyFont="1" applyFill="1" applyBorder="1" applyAlignment="1">
      <alignment horizontal="right"/>
    </xf>
    <xf numFmtId="0" fontId="13" fillId="36" borderId="0" xfId="0" applyFont="1" applyFill="1" applyBorder="1" applyAlignment="1">
      <alignment/>
    </xf>
    <xf numFmtId="164" fontId="13" fillId="36" borderId="0" xfId="0" applyNumberFormat="1" applyFont="1" applyFill="1" applyBorder="1" applyAlignment="1">
      <alignment/>
    </xf>
    <xf numFmtId="10" fontId="13" fillId="36" borderId="0" xfId="59" applyNumberFormat="1" applyFont="1" applyFill="1" applyBorder="1" applyAlignment="1">
      <alignment/>
    </xf>
    <xf numFmtId="183" fontId="15" fillId="37" borderId="40" xfId="42" applyNumberFormat="1" applyFont="1" applyFill="1" applyBorder="1" applyAlignment="1">
      <alignment/>
    </xf>
    <xf numFmtId="43" fontId="0" fillId="41" borderId="29" xfId="0" applyNumberFormat="1" applyFont="1" applyFill="1" applyBorder="1" applyAlignment="1">
      <alignment/>
    </xf>
    <xf numFmtId="164" fontId="15" fillId="39" borderId="15" xfId="0" applyNumberFormat="1" applyFont="1" applyFill="1" applyBorder="1" applyAlignment="1">
      <alignment/>
    </xf>
    <xf numFmtId="0" fontId="35" fillId="36" borderId="0" xfId="0" applyFont="1" applyFill="1" applyBorder="1" applyAlignment="1">
      <alignment horizontal="center"/>
    </xf>
    <xf numFmtId="0" fontId="0" fillId="36" borderId="16" xfId="0" applyFill="1" applyBorder="1" applyAlignment="1">
      <alignment/>
    </xf>
    <xf numFmtId="0" fontId="7" fillId="36" borderId="15" xfId="0" applyFont="1" applyFill="1" applyBorder="1" applyAlignment="1">
      <alignment/>
    </xf>
    <xf numFmtId="2" fontId="0" fillId="36" borderId="0" xfId="0" applyNumberFormat="1" applyFont="1" applyFill="1" applyBorder="1" applyAlignment="1">
      <alignment/>
    </xf>
    <xf numFmtId="0" fontId="6" fillId="2" borderId="0" xfId="0" applyFont="1" applyAlignment="1" applyProtection="1">
      <alignment horizontal="left"/>
      <protection/>
    </xf>
    <xf numFmtId="0" fontId="0" fillId="2" borderId="0" xfId="0" applyAlignment="1" applyProtection="1">
      <alignment/>
      <protection/>
    </xf>
    <xf numFmtId="0" fontId="6" fillId="2" borderId="0" xfId="0" applyFont="1" applyAlignment="1" applyProtection="1">
      <alignment horizontal="center"/>
      <protection/>
    </xf>
    <xf numFmtId="0" fontId="6" fillId="2" borderId="0" xfId="0" applyFont="1" applyAlignment="1" applyProtection="1">
      <alignment/>
      <protection/>
    </xf>
    <xf numFmtId="0" fontId="6" fillId="2" borderId="0" xfId="0" applyFont="1" applyAlignment="1" applyProtection="1">
      <alignment/>
      <protection/>
    </xf>
    <xf numFmtId="0" fontId="0" fillId="2" borderId="0" xfId="0" applyFont="1" applyAlignment="1" applyProtection="1">
      <alignment/>
      <protection/>
    </xf>
    <xf numFmtId="0" fontId="0" fillId="2" borderId="0" xfId="0" applyAlignment="1" applyProtection="1">
      <alignment horizontal="left"/>
      <protection/>
    </xf>
    <xf numFmtId="3" fontId="0" fillId="36" borderId="0" xfId="0" applyNumberFormat="1" applyFill="1" applyAlignment="1" applyProtection="1">
      <alignment/>
      <protection/>
    </xf>
    <xf numFmtId="0" fontId="0" fillId="2" borderId="0" xfId="0" applyFont="1" applyAlignment="1" applyProtection="1">
      <alignment horizontal="left"/>
      <protection/>
    </xf>
    <xf numFmtId="181" fontId="0" fillId="2" borderId="0" xfId="42" applyNumberFormat="1" applyFont="1" applyFill="1" applyAlignment="1" applyProtection="1">
      <alignment/>
      <protection/>
    </xf>
    <xf numFmtId="164" fontId="0" fillId="36" borderId="0" xfId="0" applyNumberFormat="1" applyFill="1" applyAlignment="1" applyProtection="1">
      <alignment/>
      <protection/>
    </xf>
    <xf numFmtId="164" fontId="0" fillId="2" borderId="0" xfId="0" applyNumberFormat="1" applyAlignment="1" applyProtection="1">
      <alignment/>
      <protection/>
    </xf>
    <xf numFmtId="0" fontId="16" fillId="2" borderId="21" xfId="0" applyFont="1" applyBorder="1" applyAlignment="1" applyProtection="1">
      <alignment horizontal="left"/>
      <protection/>
    </xf>
    <xf numFmtId="165" fontId="0" fillId="36" borderId="0" xfId="0" applyNumberFormat="1" applyFill="1" applyAlignment="1" applyProtection="1">
      <alignment/>
      <protection/>
    </xf>
    <xf numFmtId="0" fontId="0" fillId="36" borderId="0" xfId="0" applyFill="1" applyBorder="1" applyAlignment="1" applyProtection="1">
      <alignment/>
      <protection/>
    </xf>
    <xf numFmtId="0" fontId="10" fillId="36" borderId="0" xfId="0" applyFont="1" applyFill="1" applyBorder="1" applyAlignment="1" applyProtection="1">
      <alignment/>
      <protection/>
    </xf>
    <xf numFmtId="10" fontId="0" fillId="36" borderId="0" xfId="0" applyNumberFormat="1" applyFill="1" applyBorder="1" applyAlignment="1" applyProtection="1">
      <alignment horizontal="center"/>
      <protection/>
    </xf>
    <xf numFmtId="0" fontId="11" fillId="36" borderId="41" xfId="0" applyFont="1" applyFill="1" applyBorder="1" applyAlignment="1" applyProtection="1">
      <alignment horizontal="center" vertical="center" wrapText="1"/>
      <protection/>
    </xf>
    <xf numFmtId="0" fontId="11" fillId="2" borderId="41" xfId="0" applyFont="1" applyBorder="1" applyAlignment="1" applyProtection="1">
      <alignment horizontal="center" vertical="center" wrapText="1"/>
      <protection/>
    </xf>
    <xf numFmtId="0" fontId="0" fillId="36" borderId="28" xfId="0" applyFill="1" applyBorder="1" applyAlignment="1" applyProtection="1">
      <alignment horizontal="left" vertical="center"/>
      <protection/>
    </xf>
    <xf numFmtId="164" fontId="0" fillId="36" borderId="28" xfId="0" applyNumberFormat="1" applyFill="1" applyBorder="1" applyAlignment="1" applyProtection="1">
      <alignment horizontal="center" vertical="center"/>
      <protection/>
    </xf>
    <xf numFmtId="0" fontId="0" fillId="42" borderId="18" xfId="0" applyFill="1" applyBorder="1" applyAlignment="1" applyProtection="1">
      <alignment vertical="center"/>
      <protection/>
    </xf>
    <xf numFmtId="164" fontId="0" fillId="2" borderId="42" xfId="0" applyNumberFormat="1" applyFont="1" applyBorder="1" applyAlignment="1" applyProtection="1">
      <alignment horizontal="center" vertical="center"/>
      <protection/>
    </xf>
    <xf numFmtId="164" fontId="0" fillId="2" borderId="42" xfId="0" applyNumberFormat="1" applyBorder="1" applyAlignment="1" applyProtection="1">
      <alignment horizontal="center" vertical="center"/>
      <protection/>
    </xf>
    <xf numFmtId="0" fontId="0" fillId="36" borderId="29" xfId="0" applyFill="1" applyBorder="1" applyAlignment="1" applyProtection="1">
      <alignment horizontal="left" vertical="center" wrapText="1"/>
      <protection/>
    </xf>
    <xf numFmtId="0" fontId="0" fillId="42" borderId="12" xfId="0" applyFill="1" applyBorder="1" applyAlignment="1" applyProtection="1">
      <alignment vertical="center"/>
      <protection/>
    </xf>
    <xf numFmtId="164" fontId="0" fillId="2" borderId="29" xfId="0" applyNumberFormat="1" applyFont="1" applyBorder="1" applyAlignment="1" applyProtection="1">
      <alignment horizontal="center" vertical="center"/>
      <protection/>
    </xf>
    <xf numFmtId="164" fontId="0" fillId="2" borderId="29" xfId="0" applyNumberFormat="1" applyBorder="1" applyAlignment="1" applyProtection="1">
      <alignment horizontal="center" vertical="center"/>
      <protection/>
    </xf>
    <xf numFmtId="0" fontId="10" fillId="42" borderId="12" xfId="0" applyFont="1" applyFill="1" applyBorder="1" applyAlignment="1" applyProtection="1">
      <alignment vertical="center"/>
      <protection/>
    </xf>
    <xf numFmtId="0" fontId="0" fillId="36" borderId="29" xfId="0" applyFont="1" applyFill="1" applyBorder="1" applyAlignment="1" applyProtection="1">
      <alignment horizontal="left" vertical="center" wrapText="1"/>
      <protection/>
    </xf>
    <xf numFmtId="0" fontId="0" fillId="42" borderId="29" xfId="0" applyFill="1" applyBorder="1" applyAlignment="1" applyProtection="1">
      <alignment vertical="center"/>
      <protection/>
    </xf>
    <xf numFmtId="0" fontId="0" fillId="2" borderId="0" xfId="0" applyAlignment="1" applyProtection="1">
      <alignment/>
      <protection locked="0"/>
    </xf>
    <xf numFmtId="3" fontId="0" fillId="3" borderId="0" xfId="0" applyNumberFormat="1" applyFill="1" applyAlignment="1" applyProtection="1">
      <alignment/>
      <protection locked="0"/>
    </xf>
    <xf numFmtId="4" fontId="0" fillId="3" borderId="0" xfId="0" applyNumberFormat="1" applyFill="1" applyAlignment="1" applyProtection="1">
      <alignment/>
      <protection locked="0"/>
    </xf>
    <xf numFmtId="19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10" fontId="0" fillId="3" borderId="0" xfId="0" applyNumberFormat="1" applyFill="1" applyBorder="1" applyAlignment="1" applyProtection="1">
      <alignment horizontal="center"/>
      <protection locked="0"/>
    </xf>
    <xf numFmtId="166" fontId="0" fillId="7" borderId="42" xfId="0" applyNumberFormat="1" applyFill="1" applyBorder="1" applyAlignment="1" applyProtection="1">
      <alignment horizontal="center" vertical="center"/>
      <protection locked="0"/>
    </xf>
    <xf numFmtId="166" fontId="0" fillId="7" borderId="29" xfId="0" applyNumberFormat="1" applyFill="1" applyBorder="1" applyAlignment="1" applyProtection="1">
      <alignment horizontal="center" vertical="center"/>
      <protection locked="0"/>
    </xf>
    <xf numFmtId="10" fontId="0" fillId="7" borderId="42" xfId="0" applyNumberFormat="1" applyFill="1" applyBorder="1" applyAlignment="1" applyProtection="1">
      <alignment horizontal="center" vertical="center"/>
      <protection locked="0"/>
    </xf>
    <xf numFmtId="10" fontId="0" fillId="7" borderId="29" xfId="0" applyNumberFormat="1" applyFill="1" applyBorder="1" applyAlignment="1" applyProtection="1">
      <alignment horizontal="center" vertical="center"/>
      <protection locked="0"/>
    </xf>
    <xf numFmtId="188" fontId="0" fillId="7" borderId="29" xfId="0" applyNumberFormat="1" applyFill="1" applyBorder="1" applyAlignment="1" applyProtection="1">
      <alignment horizontal="center" vertical="center"/>
      <protection locked="0"/>
    </xf>
    <xf numFmtId="41" fontId="9" fillId="43" borderId="28" xfId="42" applyNumberFormat="1" applyFont="1" applyFill="1" applyBorder="1" applyAlignment="1" applyProtection="1">
      <alignment horizontal="right"/>
      <protection locked="0"/>
    </xf>
    <xf numFmtId="41" fontId="9" fillId="43" borderId="29" xfId="42" applyNumberFormat="1" applyFont="1" applyFill="1" applyBorder="1" applyAlignment="1" applyProtection="1">
      <alignment horizontal="right"/>
      <protection locked="0"/>
    </xf>
    <xf numFmtId="3" fontId="9" fillId="43" borderId="28" xfId="42" applyNumberFormat="1" applyFont="1" applyFill="1" applyBorder="1" applyAlignment="1" applyProtection="1">
      <alignment horizontal="right"/>
      <protection locked="0"/>
    </xf>
    <xf numFmtId="181" fontId="9" fillId="43" borderId="28" xfId="42" applyNumberFormat="1" applyFont="1" applyFill="1" applyBorder="1" applyAlignment="1" applyProtection="1">
      <alignment horizontal="left"/>
      <protection locked="0"/>
    </xf>
    <xf numFmtId="181" fontId="9" fillId="43" borderId="29" xfId="42" applyNumberFormat="1" applyFont="1" applyFill="1" applyBorder="1" applyAlignment="1" applyProtection="1">
      <alignment horizontal="left"/>
      <protection locked="0"/>
    </xf>
    <xf numFmtId="0" fontId="9" fillId="43" borderId="29" xfId="0" applyFont="1" applyFill="1" applyBorder="1" applyAlignment="1" applyProtection="1">
      <alignment/>
      <protection locked="0"/>
    </xf>
    <xf numFmtId="41" fontId="9" fillId="43" borderId="28" xfId="42" applyNumberFormat="1" applyFont="1" applyFill="1" applyBorder="1" applyAlignment="1" applyProtection="1">
      <alignment horizontal="left"/>
      <protection locked="0"/>
    </xf>
    <xf numFmtId="166" fontId="7" fillId="43" borderId="0" xfId="0" applyNumberFormat="1" applyFont="1" applyFill="1" applyAlignment="1" applyProtection="1">
      <alignment/>
      <protection locked="0"/>
    </xf>
    <xf numFmtId="166" fontId="7" fillId="43" borderId="0" xfId="0" applyNumberFormat="1" applyFont="1" applyFill="1" applyBorder="1" applyAlignment="1" applyProtection="1">
      <alignment/>
      <protection locked="0"/>
    </xf>
    <xf numFmtId="164" fontId="7" fillId="43" borderId="0" xfId="0" applyNumberFormat="1" applyFont="1" applyFill="1" applyAlignment="1" applyProtection="1">
      <alignment/>
      <protection locked="0"/>
    </xf>
    <xf numFmtId="164" fontId="7" fillId="43" borderId="0" xfId="0" applyNumberFormat="1" applyFont="1" applyFill="1" applyAlignment="1" applyProtection="1">
      <alignment horizontal="center" vertical="center"/>
      <protection locked="0"/>
    </xf>
    <xf numFmtId="4" fontId="7" fillId="43" borderId="0" xfId="0" applyNumberFormat="1" applyFont="1" applyFill="1" applyAlignment="1" applyProtection="1">
      <alignment/>
      <protection locked="0"/>
    </xf>
    <xf numFmtId="3" fontId="7" fillId="43" borderId="0" xfId="0" applyNumberFormat="1" applyFont="1" applyFill="1" applyAlignment="1" applyProtection="1">
      <alignment horizontal="center" vertical="center"/>
      <protection locked="0"/>
    </xf>
    <xf numFmtId="172" fontId="7" fillId="43" borderId="0" xfId="0" applyNumberFormat="1" applyFont="1" applyFill="1" applyBorder="1" applyAlignment="1" applyProtection="1">
      <alignment/>
      <protection locked="0"/>
    </xf>
    <xf numFmtId="0" fontId="0" fillId="2" borderId="0" xfId="0" applyFont="1" applyAlignment="1">
      <alignment horizontal="left" vertical="top" wrapText="1"/>
    </xf>
    <xf numFmtId="0" fontId="17" fillId="2" borderId="0" xfId="0" applyFont="1" applyAlignment="1">
      <alignment horizontal="center"/>
    </xf>
    <xf numFmtId="49" fontId="0" fillId="2" borderId="0" xfId="0" applyNumberFormat="1" applyFont="1" applyAlignment="1">
      <alignment horizontal="center"/>
    </xf>
    <xf numFmtId="0" fontId="0" fillId="2" borderId="0" xfId="0" applyFont="1" applyAlignment="1">
      <alignment horizontal="left" vertical="top" wrapText="1" readingOrder="1"/>
    </xf>
    <xf numFmtId="0" fontId="6" fillId="2" borderId="0" xfId="0" applyFont="1" applyAlignment="1" applyProtection="1">
      <alignment horizontal="left"/>
      <protection/>
    </xf>
    <xf numFmtId="0" fontId="15" fillId="2" borderId="0" xfId="0" applyFont="1" applyAlignment="1">
      <alignment horizontal="center"/>
    </xf>
    <xf numFmtId="0" fontId="13" fillId="0" borderId="0" xfId="0" applyFont="1" applyFill="1" applyAlignment="1">
      <alignment horizontal="left"/>
    </xf>
    <xf numFmtId="0" fontId="0" fillId="2" borderId="0" xfId="0" applyFont="1" applyAlignment="1">
      <alignment horizontal="center"/>
    </xf>
    <xf numFmtId="0" fontId="0" fillId="2"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K32"/>
  <sheetViews>
    <sheetView tabSelected="1" workbookViewId="0" topLeftCell="A1">
      <selection activeCell="A1" sqref="A1:J32"/>
    </sheetView>
  </sheetViews>
  <sheetFormatPr defaultColWidth="8.8515625" defaultRowHeight="12.75"/>
  <cols>
    <col min="1" max="1" width="4.140625" style="0" customWidth="1"/>
  </cols>
  <sheetData>
    <row r="1" spans="1:10" ht="12.75">
      <c r="A1" s="372" t="s">
        <v>196</v>
      </c>
      <c r="B1" s="372"/>
      <c r="C1" s="372"/>
      <c r="D1" s="372"/>
      <c r="E1" s="372"/>
      <c r="F1" s="372"/>
      <c r="G1" s="372"/>
      <c r="H1" s="372"/>
      <c r="I1" s="372"/>
      <c r="J1" s="372"/>
    </row>
    <row r="2" spans="1:10" ht="12.75">
      <c r="A2" s="372" t="s">
        <v>356</v>
      </c>
      <c r="B2" s="372"/>
      <c r="C2" s="372"/>
      <c r="D2" s="372"/>
      <c r="E2" s="372"/>
      <c r="F2" s="372"/>
      <c r="G2" s="372"/>
      <c r="H2" s="372"/>
      <c r="I2" s="372"/>
      <c r="J2" s="372"/>
    </row>
    <row r="3" spans="1:10" ht="12.75">
      <c r="A3" s="372"/>
      <c r="B3" s="372"/>
      <c r="C3" s="372"/>
      <c r="D3" s="372"/>
      <c r="E3" s="372"/>
      <c r="F3" s="372"/>
      <c r="G3" s="372"/>
      <c r="H3" s="372"/>
      <c r="I3" s="372"/>
      <c r="J3" s="372"/>
    </row>
    <row r="4" spans="1:10" ht="12">
      <c r="A4" s="373" t="s">
        <v>345</v>
      </c>
      <c r="B4" s="373"/>
      <c r="C4" s="373"/>
      <c r="D4" s="373"/>
      <c r="E4" s="373"/>
      <c r="F4" s="373"/>
      <c r="G4" s="373"/>
      <c r="H4" s="373"/>
      <c r="I4" s="373"/>
      <c r="J4" s="373"/>
    </row>
    <row r="5" spans="1:8" ht="7.5" customHeight="1">
      <c r="A5" s="123"/>
      <c r="C5" s="123"/>
      <c r="D5" s="123"/>
      <c r="E5" s="123"/>
      <c r="F5" s="123"/>
      <c r="G5" s="123"/>
      <c r="H5" s="123"/>
    </row>
    <row r="6" spans="1:8" ht="12.75">
      <c r="A6" s="123"/>
      <c r="B6" s="12" t="s">
        <v>102</v>
      </c>
      <c r="C6" s="123"/>
      <c r="D6" s="123"/>
      <c r="E6" s="123"/>
      <c r="F6" s="123"/>
      <c r="G6" s="123"/>
      <c r="H6" s="123"/>
    </row>
    <row r="7" spans="1:8" ht="7.5" customHeight="1">
      <c r="A7" s="123"/>
      <c r="C7" s="123"/>
      <c r="D7" s="123"/>
      <c r="E7" s="123"/>
      <c r="F7" s="123"/>
      <c r="G7" s="123"/>
      <c r="H7" s="123"/>
    </row>
    <row r="8" spans="1:8" ht="12.75">
      <c r="A8" s="123"/>
      <c r="B8" s="124" t="s">
        <v>344</v>
      </c>
      <c r="C8" s="123"/>
      <c r="D8" s="123"/>
      <c r="E8" s="123"/>
      <c r="F8" s="123"/>
      <c r="G8" s="123"/>
      <c r="H8" s="123"/>
    </row>
    <row r="9" spans="1:8" ht="12.75">
      <c r="A9" s="123"/>
      <c r="B9" s="12" t="s">
        <v>129</v>
      </c>
      <c r="C9" s="123"/>
      <c r="D9" s="123"/>
      <c r="E9" s="123"/>
      <c r="F9" s="123"/>
      <c r="G9" s="123"/>
      <c r="H9" s="123"/>
    </row>
    <row r="10" spans="1:8" ht="12.75">
      <c r="A10" s="123"/>
      <c r="B10" s="12" t="s">
        <v>128</v>
      </c>
      <c r="C10" s="123"/>
      <c r="D10" s="123"/>
      <c r="E10" s="123"/>
      <c r="F10" s="123"/>
      <c r="G10" s="123"/>
      <c r="H10" s="123"/>
    </row>
    <row r="11" spans="1:8" ht="7.5" customHeight="1">
      <c r="A11" s="123"/>
      <c r="C11" s="123"/>
      <c r="D11" s="123"/>
      <c r="E11" s="123"/>
      <c r="F11" s="123"/>
      <c r="G11" s="123"/>
      <c r="H11" s="123"/>
    </row>
    <row r="12" spans="1:8" ht="12.75">
      <c r="A12" s="123"/>
      <c r="B12" s="124" t="s">
        <v>259</v>
      </c>
      <c r="C12" s="123"/>
      <c r="D12" s="123"/>
      <c r="E12" s="123"/>
      <c r="F12" s="123"/>
      <c r="G12" s="123"/>
      <c r="H12" s="123"/>
    </row>
    <row r="13" spans="1:8" ht="12.75">
      <c r="A13" s="123"/>
      <c r="B13" s="12" t="s">
        <v>260</v>
      </c>
      <c r="C13" s="123"/>
      <c r="D13" s="123"/>
      <c r="E13" s="123"/>
      <c r="F13" s="123"/>
      <c r="G13" s="123"/>
      <c r="H13" s="123"/>
    </row>
    <row r="14" spans="1:8" ht="12.75">
      <c r="A14" s="123"/>
      <c r="B14" s="12" t="s">
        <v>261</v>
      </c>
      <c r="C14" s="123"/>
      <c r="D14" s="123"/>
      <c r="E14" s="123"/>
      <c r="F14" s="123"/>
      <c r="G14" s="123"/>
      <c r="H14" s="123"/>
    </row>
    <row r="15" spans="1:8" ht="9.75" customHeight="1">
      <c r="A15" s="123"/>
      <c r="B15" s="12"/>
      <c r="C15" s="123"/>
      <c r="D15" s="123"/>
      <c r="E15" s="123"/>
      <c r="F15" s="123"/>
      <c r="G15" s="123"/>
      <c r="H15" s="123"/>
    </row>
    <row r="16" spans="1:8" ht="13.5" customHeight="1">
      <c r="A16" s="123"/>
      <c r="B16" t="s">
        <v>126</v>
      </c>
      <c r="C16" s="123"/>
      <c r="D16" s="123"/>
      <c r="E16" s="123"/>
      <c r="F16" s="123"/>
      <c r="G16" s="123"/>
      <c r="H16" s="123"/>
    </row>
    <row r="17" spans="1:8" ht="14.25" customHeight="1">
      <c r="A17" s="123"/>
      <c r="B17" t="s">
        <v>130</v>
      </c>
      <c r="C17" s="123"/>
      <c r="D17" s="123"/>
      <c r="E17" s="123"/>
      <c r="F17" s="123"/>
      <c r="G17" s="123"/>
      <c r="H17" s="123"/>
    </row>
    <row r="18" spans="1:8" ht="14.25" customHeight="1">
      <c r="A18" s="123"/>
      <c r="B18" t="s">
        <v>127</v>
      </c>
      <c r="C18" s="123"/>
      <c r="D18" s="123"/>
      <c r="E18" s="123"/>
      <c r="F18" s="123"/>
      <c r="G18" s="123"/>
      <c r="H18" s="123"/>
    </row>
    <row r="19" ht="7.5" customHeight="1"/>
    <row r="20" ht="7.5" customHeight="1"/>
    <row r="21" spans="2:10" ht="59.25" customHeight="1">
      <c r="B21" s="374" t="s">
        <v>262</v>
      </c>
      <c r="C21" s="374"/>
      <c r="D21" s="374"/>
      <c r="E21" s="374"/>
      <c r="F21" s="374"/>
      <c r="G21" s="374"/>
      <c r="H21" s="374"/>
      <c r="I21" s="374"/>
      <c r="J21" s="374"/>
    </row>
    <row r="22" spans="2:10" ht="79.5" customHeight="1">
      <c r="B22" s="371" t="s">
        <v>100</v>
      </c>
      <c r="C22" s="371"/>
      <c r="D22" s="371"/>
      <c r="E22" s="371"/>
      <c r="F22" s="371"/>
      <c r="G22" s="371"/>
      <c r="H22" s="371"/>
      <c r="I22" s="371"/>
      <c r="J22" s="371"/>
    </row>
    <row r="23" spans="2:10" ht="7.5" customHeight="1">
      <c r="B23" s="125"/>
      <c r="C23" s="125"/>
      <c r="D23" s="125"/>
      <c r="E23" s="125"/>
      <c r="F23" s="125"/>
      <c r="G23" s="125"/>
      <c r="H23" s="125"/>
      <c r="I23" s="125"/>
      <c r="J23" s="125"/>
    </row>
    <row r="24" spans="2:10" ht="64.5" customHeight="1">
      <c r="B24" s="371" t="s">
        <v>101</v>
      </c>
      <c r="C24" s="371"/>
      <c r="D24" s="371"/>
      <c r="E24" s="371"/>
      <c r="F24" s="371"/>
      <c r="G24" s="371"/>
      <c r="H24" s="371"/>
      <c r="I24" s="371"/>
      <c r="J24" s="371"/>
    </row>
    <row r="25" spans="2:9" ht="7.5" customHeight="1">
      <c r="B25" s="126"/>
      <c r="C25" s="126"/>
      <c r="D25" s="126"/>
      <c r="E25" s="126"/>
      <c r="F25" s="126"/>
      <c r="G25" s="126"/>
      <c r="H25" s="126"/>
      <c r="I25" s="126"/>
    </row>
    <row r="26" spans="2:10" ht="79.5" customHeight="1">
      <c r="B26" s="371" t="s">
        <v>346</v>
      </c>
      <c r="C26" s="371"/>
      <c r="D26" s="371"/>
      <c r="E26" s="371"/>
      <c r="F26" s="371"/>
      <c r="G26" s="371"/>
      <c r="H26" s="371"/>
      <c r="I26" s="371"/>
      <c r="J26" s="371"/>
    </row>
    <row r="27" ht="8.25" customHeight="1"/>
    <row r="28" spans="2:11" ht="12">
      <c r="B28" s="124" t="s">
        <v>131</v>
      </c>
      <c r="C28" s="44"/>
      <c r="D28" s="44"/>
      <c r="E28" s="44"/>
      <c r="F28" s="44"/>
      <c r="G28" s="44"/>
      <c r="H28" s="44"/>
      <c r="I28" s="44"/>
      <c r="J28" s="44"/>
      <c r="K28" s="44"/>
    </row>
    <row r="29" spans="2:11" ht="12">
      <c r="B29" s="124" t="s">
        <v>132</v>
      </c>
      <c r="C29" s="4"/>
      <c r="D29" s="4"/>
      <c r="E29" s="4"/>
      <c r="F29" s="4"/>
      <c r="G29" s="4"/>
      <c r="H29" s="4"/>
      <c r="I29" s="4"/>
      <c r="J29" s="4"/>
      <c r="K29" s="4"/>
    </row>
    <row r="30" spans="2:11" ht="12">
      <c r="B30" s="124" t="s">
        <v>133</v>
      </c>
      <c r="C30" s="4"/>
      <c r="D30" s="4"/>
      <c r="E30" s="4"/>
      <c r="F30" s="4"/>
      <c r="G30" s="4"/>
      <c r="H30" s="4"/>
      <c r="I30" s="4"/>
      <c r="J30" s="4"/>
      <c r="K30" s="4"/>
    </row>
    <row r="31" spans="2:11" ht="12">
      <c r="B31" s="124" t="s">
        <v>134</v>
      </c>
      <c r="C31" s="4"/>
      <c r="D31" s="4"/>
      <c r="E31" s="4"/>
      <c r="F31" s="4"/>
      <c r="G31" s="4"/>
      <c r="H31" s="4"/>
      <c r="I31" s="4"/>
      <c r="J31" s="4"/>
      <c r="K31" s="4"/>
    </row>
    <row r="32" spans="2:11" ht="12">
      <c r="B32" s="127" t="s">
        <v>368</v>
      </c>
      <c r="C32" s="4"/>
      <c r="D32" s="4"/>
      <c r="E32" s="4"/>
      <c r="F32" s="4"/>
      <c r="G32" s="4"/>
      <c r="H32" s="4"/>
      <c r="I32" s="4"/>
      <c r="J32" s="4"/>
      <c r="K32" s="4"/>
    </row>
  </sheetData>
  <sheetProtection password="ECAF" sheet="1" selectLockedCells="1"/>
  <mergeCells count="8">
    <mergeCell ref="B24:J24"/>
    <mergeCell ref="B26:J26"/>
    <mergeCell ref="A1:J1"/>
    <mergeCell ref="A2:J2"/>
    <mergeCell ref="A3:J3"/>
    <mergeCell ref="A4:J4"/>
    <mergeCell ref="B21:J21"/>
    <mergeCell ref="B22:J22"/>
  </mergeCells>
  <printOptions/>
  <pageMargins left="0.7" right="0.7" top="0.61" bottom="0.4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FF0000"/>
  </sheetPr>
  <dimension ref="A1:J49"/>
  <sheetViews>
    <sheetView workbookViewId="0" topLeftCell="A6">
      <selection activeCell="F49" sqref="F49"/>
    </sheetView>
  </sheetViews>
  <sheetFormatPr defaultColWidth="9.140625" defaultRowHeight="12.75"/>
  <cols>
    <col min="1" max="1" width="16.7109375" style="316" customWidth="1"/>
    <col min="2" max="7" width="9.140625" style="316" customWidth="1"/>
    <col min="8" max="8" width="10.28125" style="316" bestFit="1" customWidth="1"/>
    <col min="9" max="16384" width="9.140625" style="316" customWidth="1"/>
  </cols>
  <sheetData>
    <row r="1" spans="1:10" ht="12">
      <c r="A1" s="375" t="s">
        <v>357</v>
      </c>
      <c r="B1" s="375"/>
      <c r="C1" s="375"/>
      <c r="D1" s="375"/>
      <c r="E1" s="375"/>
      <c r="F1" s="375"/>
      <c r="G1" s="375"/>
      <c r="H1" s="375"/>
      <c r="I1" s="375"/>
      <c r="J1" s="315"/>
    </row>
    <row r="2" spans="1:10" ht="12">
      <c r="A2" s="317" t="s">
        <v>2</v>
      </c>
      <c r="B2" s="317"/>
      <c r="C2" s="317"/>
      <c r="D2" s="317"/>
      <c r="E2" s="317"/>
      <c r="F2" s="317"/>
      <c r="G2" s="317"/>
      <c r="H2" s="317"/>
      <c r="I2" s="317"/>
      <c r="J2" s="318"/>
    </row>
    <row r="3" ht="12">
      <c r="A3" s="319" t="s">
        <v>80</v>
      </c>
    </row>
    <row r="5" spans="2:7" ht="12">
      <c r="B5" s="316" t="s">
        <v>265</v>
      </c>
      <c r="G5" s="347">
        <v>15000</v>
      </c>
    </row>
    <row r="7" spans="2:8" ht="12">
      <c r="B7" s="320" t="s">
        <v>263</v>
      </c>
      <c r="G7" s="348">
        <v>1.2</v>
      </c>
      <c r="H7" s="321" t="s">
        <v>264</v>
      </c>
    </row>
    <row r="8" spans="2:8" ht="12">
      <c r="B8" s="320"/>
      <c r="C8" s="320" t="s">
        <v>2</v>
      </c>
      <c r="G8" s="322">
        <f>G5*G7</f>
        <v>18000</v>
      </c>
      <c r="H8" s="323" t="s">
        <v>275</v>
      </c>
    </row>
    <row r="9" spans="2:8" ht="12">
      <c r="B9" s="320"/>
      <c r="C9" s="320"/>
      <c r="G9" s="322">
        <f>G8/6</f>
        <v>3000</v>
      </c>
      <c r="H9" s="323" t="s">
        <v>277</v>
      </c>
    </row>
    <row r="10" ht="12">
      <c r="B10" s="320" t="s">
        <v>2</v>
      </c>
    </row>
    <row r="11" spans="3:9" ht="12">
      <c r="C11" s="320" t="s">
        <v>266</v>
      </c>
      <c r="G11" s="349">
        <v>0.1</v>
      </c>
      <c r="H11" s="324">
        <f aca="true" t="shared" si="0" ref="H11:H16">$G$8*G11</f>
        <v>1800</v>
      </c>
      <c r="I11" s="321" t="s">
        <v>106</v>
      </c>
    </row>
    <row r="12" spans="3:9" ht="12">
      <c r="C12" s="320" t="s">
        <v>267</v>
      </c>
      <c r="G12" s="349">
        <v>0.15</v>
      </c>
      <c r="H12" s="324">
        <f t="shared" si="0"/>
        <v>2700</v>
      </c>
      <c r="I12" s="321" t="s">
        <v>106</v>
      </c>
    </row>
    <row r="13" spans="3:9" ht="12">
      <c r="C13" s="320" t="s">
        <v>268</v>
      </c>
      <c r="G13" s="349">
        <v>0.25</v>
      </c>
      <c r="H13" s="324">
        <f t="shared" si="0"/>
        <v>4500</v>
      </c>
      <c r="I13" s="321" t="s">
        <v>106</v>
      </c>
    </row>
    <row r="14" spans="3:9" ht="12">
      <c r="C14" s="320" t="s">
        <v>269</v>
      </c>
      <c r="G14" s="349">
        <v>0.2</v>
      </c>
      <c r="H14" s="324">
        <f t="shared" si="0"/>
        <v>3600</v>
      </c>
      <c r="I14" s="321" t="s">
        <v>106</v>
      </c>
    </row>
    <row r="15" spans="3:9" ht="12">
      <c r="C15" s="320" t="s">
        <v>270</v>
      </c>
      <c r="G15" s="349">
        <v>0.15</v>
      </c>
      <c r="H15" s="324">
        <f t="shared" si="0"/>
        <v>2700</v>
      </c>
      <c r="I15" s="321" t="s">
        <v>106</v>
      </c>
    </row>
    <row r="16" spans="3:9" ht="12">
      <c r="C16" s="320" t="s">
        <v>271</v>
      </c>
      <c r="G16" s="349">
        <v>0.15</v>
      </c>
      <c r="H16" s="324">
        <f t="shared" si="0"/>
        <v>2700</v>
      </c>
      <c r="I16" s="321" t="s">
        <v>106</v>
      </c>
    </row>
    <row r="18" spans="2:9" ht="12">
      <c r="B18" s="320" t="s">
        <v>2</v>
      </c>
      <c r="C18" s="320" t="s">
        <v>272</v>
      </c>
      <c r="G18" s="349">
        <v>0.4</v>
      </c>
      <c r="H18" s="324">
        <f>$G$8*G18</f>
        <v>7200</v>
      </c>
      <c r="I18" s="321" t="s">
        <v>106</v>
      </c>
    </row>
    <row r="19" spans="3:8" ht="12">
      <c r="C19" s="320" t="s">
        <v>2</v>
      </c>
      <c r="D19" s="320" t="s">
        <v>273</v>
      </c>
      <c r="G19" s="350">
        <v>10</v>
      </c>
      <c r="H19" s="323" t="s">
        <v>278</v>
      </c>
    </row>
    <row r="20" spans="3:8" ht="12">
      <c r="C20" s="320"/>
      <c r="D20" s="320"/>
      <c r="G20" s="325">
        <f>G19/6</f>
        <v>1.6666666666666667</v>
      </c>
      <c r="H20" s="323" t="s">
        <v>279</v>
      </c>
    </row>
    <row r="21" spans="3:8" ht="12">
      <c r="C21" s="320"/>
      <c r="D21" s="320"/>
      <c r="G21" s="325"/>
      <c r="H21" s="323"/>
    </row>
    <row r="22" spans="3:9" ht="12">
      <c r="C22" s="320" t="s">
        <v>274</v>
      </c>
      <c r="G22" s="349">
        <v>0.6</v>
      </c>
      <c r="H22" s="324">
        <f>$G$8*G22</f>
        <v>10800</v>
      </c>
      <c r="I22" s="321" t="s">
        <v>106</v>
      </c>
    </row>
    <row r="23" spans="3:8" ht="12">
      <c r="C23" s="320" t="s">
        <v>2</v>
      </c>
      <c r="D23" s="320" t="s">
        <v>273</v>
      </c>
      <c r="G23" s="350">
        <v>12</v>
      </c>
      <c r="H23" s="323" t="s">
        <v>278</v>
      </c>
    </row>
    <row r="24" spans="7:8" ht="12">
      <c r="G24" s="326">
        <f>G23/6</f>
        <v>2</v>
      </c>
      <c r="H24" s="323" t="s">
        <v>279</v>
      </c>
    </row>
    <row r="25" ht="12">
      <c r="A25" s="319" t="s">
        <v>83</v>
      </c>
    </row>
    <row r="27" ht="12">
      <c r="B27" s="320" t="s">
        <v>82</v>
      </c>
    </row>
    <row r="28" spans="3:8" ht="12">
      <c r="C28" s="320" t="s">
        <v>104</v>
      </c>
      <c r="G28" s="350">
        <v>14</v>
      </c>
      <c r="H28" s="320" t="s">
        <v>280</v>
      </c>
    </row>
    <row r="29" spans="3:8" ht="12">
      <c r="C29" s="320" t="s">
        <v>105</v>
      </c>
      <c r="G29" s="350">
        <v>10.6</v>
      </c>
      <c r="H29" s="320" t="s">
        <v>280</v>
      </c>
    </row>
    <row r="30" spans="2:8" ht="12">
      <c r="B30" s="320" t="s">
        <v>81</v>
      </c>
      <c r="G30" s="350">
        <v>1.15</v>
      </c>
      <c r="H30" s="320" t="s">
        <v>278</v>
      </c>
    </row>
    <row r="32" spans="2:8" ht="12">
      <c r="B32" s="327" t="s">
        <v>347</v>
      </c>
      <c r="G32" s="350">
        <v>0.75</v>
      </c>
      <c r="H32" s="320" t="s">
        <v>348</v>
      </c>
    </row>
    <row r="34" spans="2:8" ht="12">
      <c r="B34" s="320" t="s">
        <v>117</v>
      </c>
      <c r="G34" s="350">
        <v>3</v>
      </c>
      <c r="H34" s="320" t="s">
        <v>281</v>
      </c>
    </row>
    <row r="35" spans="2:8" ht="12">
      <c r="B35" s="320" t="s">
        <v>118</v>
      </c>
      <c r="G35" s="350">
        <v>3.5</v>
      </c>
      <c r="H35" s="320" t="s">
        <v>281</v>
      </c>
    </row>
    <row r="37" spans="3:7" ht="12">
      <c r="C37" s="320"/>
      <c r="G37" s="328"/>
    </row>
    <row r="38" spans="3:10" ht="12">
      <c r="C38" s="329" t="s">
        <v>68</v>
      </c>
      <c r="D38" s="329"/>
      <c r="E38" s="330"/>
      <c r="G38" s="351">
        <v>0.05</v>
      </c>
      <c r="J38" s="346"/>
    </row>
    <row r="39" spans="3:7" ht="12">
      <c r="C39" s="329" t="s">
        <v>69</v>
      </c>
      <c r="D39" s="330"/>
      <c r="E39" s="330"/>
      <c r="G39" s="351">
        <v>0.01</v>
      </c>
    </row>
    <row r="40" spans="3:10" ht="12">
      <c r="C40" s="329" t="s">
        <v>70</v>
      </c>
      <c r="D40" s="329"/>
      <c r="E40" s="329"/>
      <c r="G40" s="351">
        <v>0.01</v>
      </c>
      <c r="J40" s="320"/>
    </row>
    <row r="41" spans="3:7" ht="12">
      <c r="C41" s="329"/>
      <c r="D41" s="329"/>
      <c r="E41" s="329"/>
      <c r="G41" s="331"/>
    </row>
    <row r="42" spans="3:7" ht="12">
      <c r="C42" s="329"/>
      <c r="D42" s="329"/>
      <c r="E42" s="329"/>
      <c r="G42" s="331"/>
    </row>
    <row r="43" spans="1:7" ht="12">
      <c r="A43" s="319" t="s">
        <v>107</v>
      </c>
      <c r="C43" s="329"/>
      <c r="D43" s="329"/>
      <c r="E43" s="329"/>
      <c r="G43" s="331"/>
    </row>
    <row r="44" ht="13.5" customHeight="1"/>
    <row r="45" spans="1:9" ht="60.75" thickBot="1">
      <c r="A45" s="332" t="s">
        <v>109</v>
      </c>
      <c r="B45" s="332" t="s">
        <v>93</v>
      </c>
      <c r="C45" s="332" t="s">
        <v>94</v>
      </c>
      <c r="D45" s="332" t="s">
        <v>95</v>
      </c>
      <c r="E45" s="333" t="s">
        <v>108</v>
      </c>
      <c r="F45" s="333" t="s">
        <v>96</v>
      </c>
      <c r="G45" s="333" t="s">
        <v>97</v>
      </c>
      <c r="H45" s="333" t="s">
        <v>98</v>
      </c>
      <c r="I45" s="333" t="s">
        <v>99</v>
      </c>
    </row>
    <row r="46" spans="1:9" ht="13.5" customHeight="1" thickBot="1" thickTop="1">
      <c r="A46" s="334" t="s">
        <v>71</v>
      </c>
      <c r="B46" s="335">
        <f>G$35</f>
        <v>3.5</v>
      </c>
      <c r="C46" s="352">
        <v>1.5</v>
      </c>
      <c r="D46" s="354">
        <v>0.02</v>
      </c>
      <c r="E46" s="336"/>
      <c r="F46" s="336"/>
      <c r="G46" s="337">
        <f>B46*C46</f>
        <v>5.25</v>
      </c>
      <c r="H46" s="338">
        <f>G46*D46</f>
        <v>0.105</v>
      </c>
      <c r="I46" s="338">
        <f>G46+H46</f>
        <v>5.355</v>
      </c>
    </row>
    <row r="47" spans="1:9" ht="13.5" customHeight="1" thickBot="1" thickTop="1">
      <c r="A47" s="339" t="s">
        <v>72</v>
      </c>
      <c r="B47" s="335">
        <f>G$35</f>
        <v>3.5</v>
      </c>
      <c r="C47" s="353">
        <v>2.5</v>
      </c>
      <c r="D47" s="355">
        <v>0.02</v>
      </c>
      <c r="E47" s="340"/>
      <c r="F47" s="340"/>
      <c r="G47" s="341">
        <f>B47*C47</f>
        <v>8.75</v>
      </c>
      <c r="H47" s="342">
        <f>G47*D47</f>
        <v>0.17500000000000002</v>
      </c>
      <c r="I47" s="342">
        <f>G47+H47</f>
        <v>8.925</v>
      </c>
    </row>
    <row r="48" spans="1:9" ht="13.5" customHeight="1" thickBot="1" thickTop="1">
      <c r="A48" s="339" t="s">
        <v>73</v>
      </c>
      <c r="B48" s="335">
        <f>G$35</f>
        <v>3.5</v>
      </c>
      <c r="C48" s="353">
        <v>0.375</v>
      </c>
      <c r="D48" s="355">
        <v>0.02</v>
      </c>
      <c r="E48" s="343"/>
      <c r="F48" s="343"/>
      <c r="G48" s="341">
        <f>B48*C48</f>
        <v>1.3125</v>
      </c>
      <c r="H48" s="342">
        <f>G48*D48</f>
        <v>0.02625</v>
      </c>
      <c r="I48" s="342">
        <f>G48+H48</f>
        <v>1.33875</v>
      </c>
    </row>
    <row r="49" spans="1:9" ht="13.5" customHeight="1" thickTop="1">
      <c r="A49" s="344" t="s">
        <v>103</v>
      </c>
      <c r="B49" s="335">
        <f>G$34</f>
        <v>3</v>
      </c>
      <c r="C49" s="345"/>
      <c r="D49" s="355">
        <v>0.02</v>
      </c>
      <c r="E49" s="356">
        <v>15</v>
      </c>
      <c r="F49" s="356">
        <v>50</v>
      </c>
      <c r="G49" s="341">
        <f>(B49*F49)/E49</f>
        <v>10</v>
      </c>
      <c r="H49" s="342">
        <f>G49*D49</f>
        <v>0.2</v>
      </c>
      <c r="I49" s="342">
        <f>G49+H49</f>
        <v>10.2</v>
      </c>
    </row>
  </sheetData>
  <sheetProtection password="ECAF" sheet="1" selectLockedCells="1"/>
  <mergeCells count="1">
    <mergeCell ref="A1:I1"/>
  </mergeCells>
  <printOptions/>
  <pageMargins left="0.64" right="0.41"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rgb="FF7030A0"/>
  </sheetPr>
  <dimension ref="A1:J116"/>
  <sheetViews>
    <sheetView showGridLines="0" workbookViewId="0" topLeftCell="A69">
      <selection activeCell="A1" sqref="A1:J116"/>
    </sheetView>
  </sheetViews>
  <sheetFormatPr defaultColWidth="8.8515625" defaultRowHeight="12.75"/>
  <cols>
    <col min="1" max="5" width="8.8515625" style="0" customWidth="1"/>
    <col min="6" max="6" width="9.28125" style="0" bestFit="1" customWidth="1"/>
    <col min="7" max="7" width="10.28125" style="0" customWidth="1"/>
    <col min="8" max="9" width="9.8515625" style="0" bestFit="1" customWidth="1"/>
  </cols>
  <sheetData>
    <row r="1" spans="1:10" ht="12">
      <c r="A1" s="376" t="s">
        <v>282</v>
      </c>
      <c r="B1" s="376"/>
      <c r="C1" s="376"/>
      <c r="D1" s="376"/>
      <c r="E1" s="376"/>
      <c r="F1" s="376"/>
      <c r="G1" s="376"/>
      <c r="H1" s="376"/>
      <c r="I1" s="376"/>
      <c r="J1" s="376"/>
    </row>
    <row r="2" spans="1:10" ht="12.75" thickBot="1">
      <c r="A2" s="63" t="s">
        <v>2</v>
      </c>
      <c r="C2" s="63" t="s">
        <v>79</v>
      </c>
      <c r="E2" s="64">
        <f>Assumptions!G8</f>
        <v>18000</v>
      </c>
      <c r="F2" s="63" t="s">
        <v>78</v>
      </c>
      <c r="G2" s="64">
        <f>Assumptions!G9</f>
        <v>3000</v>
      </c>
      <c r="H2" s="63" t="s">
        <v>289</v>
      </c>
      <c r="I2" s="63"/>
      <c r="J2" s="63"/>
    </row>
    <row r="3" spans="2:10" ht="12">
      <c r="B3" s="54"/>
      <c r="C3" s="50"/>
      <c r="D3" s="57"/>
      <c r="E3" s="50"/>
      <c r="F3" s="48" t="s">
        <v>36</v>
      </c>
      <c r="G3" s="48" t="s">
        <v>37</v>
      </c>
      <c r="H3" s="48" t="s">
        <v>38</v>
      </c>
      <c r="I3" s="48" t="s">
        <v>39</v>
      </c>
      <c r="J3" s="48" t="s">
        <v>76</v>
      </c>
    </row>
    <row r="4" spans="1:10" ht="12.75" thickBot="1">
      <c r="A4" s="45" t="s">
        <v>3</v>
      </c>
      <c r="B4" s="45" t="s">
        <v>77</v>
      </c>
      <c r="C4" s="45"/>
      <c r="D4" s="45"/>
      <c r="E4" s="45"/>
      <c r="F4" s="49" t="s">
        <v>62</v>
      </c>
      <c r="G4" s="49" t="s">
        <v>62</v>
      </c>
      <c r="H4" s="49" t="s">
        <v>62</v>
      </c>
      <c r="I4" s="49" t="s">
        <v>62</v>
      </c>
      <c r="J4" s="49" t="s">
        <v>62</v>
      </c>
    </row>
    <row r="5" spans="1:10" ht="12">
      <c r="A5" s="262" t="s">
        <v>254</v>
      </c>
      <c r="B5" s="260"/>
      <c r="C5" s="260"/>
      <c r="D5" s="260"/>
      <c r="E5" s="260"/>
      <c r="F5" s="261"/>
      <c r="G5" s="261"/>
      <c r="H5" s="261"/>
      <c r="I5" s="261"/>
      <c r="J5" s="261"/>
    </row>
    <row r="6" spans="1:10" ht="12">
      <c r="A6" s="50" t="s">
        <v>30</v>
      </c>
      <c r="B6" s="13"/>
      <c r="C6" s="13"/>
      <c r="D6" s="13"/>
      <c r="E6" s="50"/>
      <c r="F6" s="51" t="s">
        <v>2</v>
      </c>
      <c r="G6" s="51" t="s">
        <v>2</v>
      </c>
      <c r="H6" s="51" t="s">
        <v>2</v>
      </c>
      <c r="I6" s="51" t="s">
        <v>2</v>
      </c>
      <c r="J6" s="50"/>
    </row>
    <row r="7" spans="1:10" ht="12">
      <c r="A7" s="50"/>
      <c r="B7" s="50" t="s">
        <v>220</v>
      </c>
      <c r="C7" s="13"/>
      <c r="D7" s="13"/>
      <c r="E7" s="50"/>
      <c r="F7" s="51">
        <f>ProductionSequence!H8</f>
        <v>61.97268</v>
      </c>
      <c r="G7" s="51">
        <f>ProductionSequence!L8</f>
        <v>18.4</v>
      </c>
      <c r="H7" s="51">
        <f>ProductionSequence!O8</f>
        <v>38.16</v>
      </c>
      <c r="I7" s="51">
        <f>ProductionSequence!P8</f>
        <v>118.53268</v>
      </c>
      <c r="J7" s="53"/>
    </row>
    <row r="8" spans="1:10" s="59" customFormat="1" ht="12">
      <c r="A8" s="254"/>
      <c r="B8" s="255" t="s">
        <v>251</v>
      </c>
      <c r="C8" s="250"/>
      <c r="D8" s="250"/>
      <c r="E8" s="255"/>
      <c r="F8" s="258">
        <f>ProductionSequence!H9+ProductionSequence!H10+ProductionSequence!H11</f>
        <v>65.32321333333333</v>
      </c>
      <c r="G8" s="258">
        <f>ProductionSequence!L9+ProductionSequence!L10+ProductionSequence!L11</f>
        <v>0</v>
      </c>
      <c r="H8" s="258">
        <f>ProductionSequence!O9+ProductionSequence!O10+ProductionSequence!O11</f>
        <v>241.67999999999998</v>
      </c>
      <c r="I8" s="258">
        <f>ProductionSequence!P9+ProductionSequence!P10+ProductionSequence!P11</f>
        <v>307.00321333333335</v>
      </c>
      <c r="J8" s="257"/>
    </row>
    <row r="9" spans="1:10" ht="12">
      <c r="A9" s="50"/>
      <c r="B9" s="50" t="s">
        <v>203</v>
      </c>
      <c r="C9" s="13"/>
      <c r="D9" s="13"/>
      <c r="E9" s="50"/>
      <c r="F9" s="51">
        <f>ProductionSequence!G12</f>
        <v>18.742626666666666</v>
      </c>
      <c r="G9" s="51">
        <f>ProductionSequence!L12</f>
        <v>0</v>
      </c>
      <c r="H9" s="51">
        <f>ProductionSequence!O12</f>
        <v>12.719999999999999</v>
      </c>
      <c r="I9" s="51">
        <f>ProductionSequence!P12</f>
        <v>31.462626666666665</v>
      </c>
      <c r="J9" s="53"/>
    </row>
    <row r="10" spans="1:10" ht="12">
      <c r="A10" s="50"/>
      <c r="B10" s="50" t="s">
        <v>201</v>
      </c>
      <c r="C10" s="13"/>
      <c r="D10" s="13"/>
      <c r="E10" s="50"/>
      <c r="F10" s="51">
        <f>ProductionSequence!G13</f>
        <v>0</v>
      </c>
      <c r="G10" s="51">
        <f>ProductionSequence!L13</f>
        <v>55</v>
      </c>
      <c r="H10" s="51">
        <f>ProductionSequence!O13</f>
        <v>0</v>
      </c>
      <c r="I10" s="51">
        <f>ProductionSequence!P13</f>
        <v>55</v>
      </c>
      <c r="J10" s="53"/>
    </row>
    <row r="11" spans="1:10" ht="12">
      <c r="A11" s="254" t="s">
        <v>31</v>
      </c>
      <c r="B11" s="255"/>
      <c r="C11" s="255"/>
      <c r="D11" s="255"/>
      <c r="E11" s="255"/>
      <c r="F11" s="256">
        <f>ProductionSequence!H14</f>
        <v>146.03852</v>
      </c>
      <c r="G11" s="256">
        <f>ProductionSequence!L14</f>
        <v>73.4</v>
      </c>
      <c r="H11" s="256">
        <f>ProductionSequence!O14</f>
        <v>292.56000000000006</v>
      </c>
      <c r="I11" s="256">
        <f>ProductionSequence!P14</f>
        <v>511.99852</v>
      </c>
      <c r="J11" s="53"/>
    </row>
    <row r="12" spans="1:10" ht="12">
      <c r="A12" s="264" t="s">
        <v>255</v>
      </c>
      <c r="B12" s="263"/>
      <c r="C12" s="263"/>
      <c r="D12" s="263"/>
      <c r="E12" s="263"/>
      <c r="F12" s="266">
        <f>ProductionSequence!H15</f>
        <v>146.03852</v>
      </c>
      <c r="G12" s="266">
        <f>ProductionSequence!L15</f>
        <v>73.4</v>
      </c>
      <c r="H12" s="266">
        <f>ProductionSequence!O15</f>
        <v>292.56000000000006</v>
      </c>
      <c r="I12" s="266">
        <f>ProductionSequence!P15</f>
        <v>511.99852</v>
      </c>
      <c r="J12" s="53"/>
    </row>
    <row r="13" spans="1:10" ht="12">
      <c r="A13" s="265"/>
      <c r="B13" s="255"/>
      <c r="C13" s="255"/>
      <c r="D13" s="255"/>
      <c r="E13" s="255"/>
      <c r="F13" s="256"/>
      <c r="G13" s="256"/>
      <c r="H13" s="256"/>
      <c r="I13" s="256"/>
      <c r="J13" s="53"/>
    </row>
    <row r="14" spans="1:10" ht="12">
      <c r="A14" s="265" t="s">
        <v>256</v>
      </c>
      <c r="B14" s="255"/>
      <c r="C14" s="255"/>
      <c r="D14" s="255"/>
      <c r="E14" s="255"/>
      <c r="F14" s="256"/>
      <c r="G14" s="256"/>
      <c r="H14" s="256"/>
      <c r="I14" s="256"/>
      <c r="J14" s="53"/>
    </row>
    <row r="15" spans="1:10" ht="12">
      <c r="A15" s="50" t="s">
        <v>33</v>
      </c>
      <c r="B15" s="28" t="s">
        <v>2</v>
      </c>
      <c r="C15" s="137"/>
      <c r="D15" s="137"/>
      <c r="E15" s="50"/>
      <c r="F15" s="51" t="s">
        <v>2</v>
      </c>
      <c r="G15" s="51" t="s">
        <v>2</v>
      </c>
      <c r="H15" s="51" t="s">
        <v>2</v>
      </c>
      <c r="I15" s="51" t="s">
        <v>2</v>
      </c>
      <c r="J15" s="53" t="s">
        <v>2</v>
      </c>
    </row>
    <row r="16" spans="1:10" ht="12">
      <c r="A16" s="50"/>
      <c r="B16" s="50" t="s">
        <v>366</v>
      </c>
      <c r="C16" s="32"/>
      <c r="D16" s="31"/>
      <c r="E16" s="50"/>
      <c r="F16" s="51">
        <f>ProductionSequence!H19</f>
        <v>21.26886</v>
      </c>
      <c r="G16" s="51">
        <f>ProductionSequence!L19</f>
        <v>0</v>
      </c>
      <c r="H16" s="51">
        <f>ProductionSequence!O19</f>
        <v>19.08</v>
      </c>
      <c r="I16" s="51">
        <f>ProductionSequence!P19</f>
        <v>40.34886</v>
      </c>
      <c r="J16" s="53"/>
    </row>
    <row r="17" spans="1:10" ht="12">
      <c r="A17" s="50"/>
      <c r="B17" s="50" t="s">
        <v>204</v>
      </c>
      <c r="C17" s="32"/>
      <c r="D17" s="31"/>
      <c r="E17" s="50"/>
      <c r="F17" s="51">
        <f>ProductionSequence!H20</f>
        <v>18.742626666666666</v>
      </c>
      <c r="G17" s="51">
        <f>ProductionSequence!L20</f>
        <v>0</v>
      </c>
      <c r="H17" s="51">
        <f>ProductionSequence!O20</f>
        <v>12.719999999999999</v>
      </c>
      <c r="I17" s="51">
        <f>ProductionSequence!P20</f>
        <v>31.462626666666665</v>
      </c>
      <c r="J17" s="53"/>
    </row>
    <row r="18" spans="1:10" ht="12">
      <c r="A18" s="254" t="s">
        <v>252</v>
      </c>
      <c r="B18" s="255"/>
      <c r="C18" s="255"/>
      <c r="D18" s="255"/>
      <c r="E18" s="255"/>
      <c r="F18" s="256">
        <f>ProductionSequence!H21</f>
        <v>40.01148666666667</v>
      </c>
      <c r="G18" s="256">
        <f>ProductionSequence!L21</f>
        <v>0</v>
      </c>
      <c r="H18" s="256">
        <f>ProductionSequence!O21</f>
        <v>31.799999999999997</v>
      </c>
      <c r="I18" s="256">
        <f>ProductionSequence!P21</f>
        <v>71.81148666666667</v>
      </c>
      <c r="J18" s="53"/>
    </row>
    <row r="19" spans="1:10" ht="12">
      <c r="A19" s="50" t="s">
        <v>34</v>
      </c>
      <c r="B19" s="32" t="s">
        <v>2</v>
      </c>
      <c r="C19" s="32" t="s">
        <v>2</v>
      </c>
      <c r="D19" s="31"/>
      <c r="E19" s="50"/>
      <c r="F19" s="51"/>
      <c r="G19" s="51"/>
      <c r="H19" s="51"/>
      <c r="I19" s="51"/>
      <c r="J19" s="53"/>
    </row>
    <row r="20" spans="1:10" ht="12">
      <c r="A20" s="50"/>
      <c r="B20" s="50" t="s">
        <v>208</v>
      </c>
      <c r="C20" s="32"/>
      <c r="D20" s="31"/>
      <c r="E20" s="50"/>
      <c r="F20" s="51">
        <f>ProductionSequence!H23</f>
        <v>0.8529300000000001</v>
      </c>
      <c r="G20" s="51">
        <f>ProductionSequence!L23</f>
        <v>0</v>
      </c>
      <c r="H20" s="51">
        <f>ProductionSequence!O23</f>
        <v>127.19999999999999</v>
      </c>
      <c r="I20" s="51">
        <f>ProductionSequence!P23</f>
        <v>128.05292999999998</v>
      </c>
      <c r="J20" s="53"/>
    </row>
    <row r="21" spans="1:10" ht="12">
      <c r="A21" s="50"/>
      <c r="B21" s="50" t="s">
        <v>209</v>
      </c>
      <c r="C21" s="32"/>
      <c r="D21" s="31"/>
      <c r="E21" s="50"/>
      <c r="F21" s="51">
        <f>ProductionSequence!H24</f>
        <v>12.928999999999998</v>
      </c>
      <c r="G21" s="51">
        <f>ProductionSequence!L24</f>
        <v>0</v>
      </c>
      <c r="H21" s="51">
        <f>ProductionSequence!O24</f>
        <v>1.4000000000000001</v>
      </c>
      <c r="I21" s="51">
        <f>ProductionSequence!P24</f>
        <v>14.328999999999999</v>
      </c>
      <c r="J21" s="53"/>
    </row>
    <row r="22" spans="1:10" ht="12">
      <c r="A22" s="50"/>
      <c r="B22" s="50" t="s">
        <v>210</v>
      </c>
      <c r="C22" s="32"/>
      <c r="D22" s="31"/>
      <c r="E22" s="50"/>
      <c r="F22" s="51">
        <f>ProductionSequence!H25</f>
        <v>54.407379999999996</v>
      </c>
      <c r="G22" s="51">
        <f>ProductionSequence!L25</f>
        <v>0</v>
      </c>
      <c r="H22" s="51">
        <f>ProductionSequence!O25</f>
        <v>38.16</v>
      </c>
      <c r="I22" s="51">
        <f>ProductionSequence!P25</f>
        <v>92.56737999999999</v>
      </c>
      <c r="J22" s="53"/>
    </row>
    <row r="23" spans="1:10" s="59" customFormat="1" ht="12">
      <c r="A23" s="254" t="s">
        <v>2</v>
      </c>
      <c r="B23" s="255" t="s">
        <v>151</v>
      </c>
      <c r="C23" s="255"/>
      <c r="D23" s="255"/>
      <c r="E23" s="255"/>
      <c r="F23" s="258">
        <f>ProductionSequence!H26+ProductionSequence!H27+ProductionSequence!H28+ProductionSequence!H29</f>
        <v>6.833375</v>
      </c>
      <c r="G23" s="258">
        <f>ProductionSequence!L26+ProductionSequence!L27+ProductionSequence!L28+ProductionSequence!L29</f>
        <v>195.31</v>
      </c>
      <c r="H23" s="258">
        <f>ProductionSequence!O26+ProductionSequence!O27+ProductionSequence!O28+ProductionSequence!O29</f>
        <v>9.54</v>
      </c>
      <c r="I23" s="258">
        <f>ProductionSequence!P26+ProductionSequence!P27+ProductionSequence!P28+ProductionSequence!P29</f>
        <v>211.68337499999998</v>
      </c>
      <c r="J23" s="257"/>
    </row>
    <row r="24" spans="1:10" ht="12">
      <c r="A24" s="50"/>
      <c r="B24" s="50" t="s">
        <v>154</v>
      </c>
      <c r="C24" s="32"/>
      <c r="D24" s="31"/>
      <c r="E24" s="50"/>
      <c r="F24" s="51">
        <f>ProductionSequence!H30+ProductionSequence!H31+ProductionSequence!H32+ProductionSequence!H33</f>
        <v>151.68887999999998</v>
      </c>
      <c r="G24" s="51">
        <f>ProductionSequence!L30+ProductionSequence!L31+ProductionSequence!L32+ProductionSequence!L33</f>
        <v>1164.1200000000001</v>
      </c>
      <c r="H24" s="51">
        <f>ProductionSequence!O30+ProductionSequence!O31+ProductionSequence!O32+ProductionSequence!O33</f>
        <v>50.39999999999999</v>
      </c>
      <c r="I24" s="51">
        <f>ProductionSequence!P30+ProductionSequence!P31+ProductionSequence!P32+ProductionSequence!P33</f>
        <v>1366.2088800000001</v>
      </c>
      <c r="J24" s="53"/>
    </row>
    <row r="25" spans="1:10" ht="12">
      <c r="A25" s="50"/>
      <c r="B25" s="50" t="s">
        <v>211</v>
      </c>
      <c r="C25" s="50"/>
      <c r="D25" s="50"/>
      <c r="E25" s="50"/>
      <c r="F25" s="51">
        <f>ProductionSequence!H34</f>
        <v>6.833375</v>
      </c>
      <c r="G25" s="51">
        <f>ProductionSequence!L34</f>
        <v>8</v>
      </c>
      <c r="H25" s="51">
        <f>ProductionSequence!O34</f>
        <v>9.54</v>
      </c>
      <c r="I25" s="51">
        <f>ProductionSequence!P34</f>
        <v>24.373375</v>
      </c>
      <c r="J25" s="53"/>
    </row>
    <row r="26" spans="1:10" ht="12">
      <c r="A26" s="264" t="s">
        <v>257</v>
      </c>
      <c r="B26" s="263"/>
      <c r="C26" s="263"/>
      <c r="D26" s="263"/>
      <c r="E26" s="263"/>
      <c r="F26" s="266">
        <f>ProductionSequence!H35</f>
        <v>273.55642666666665</v>
      </c>
      <c r="G26" s="266">
        <f>ProductionSequence!L35</f>
        <v>1367.43</v>
      </c>
      <c r="H26" s="266">
        <f>ProductionSequence!O35</f>
        <v>268.03999999999996</v>
      </c>
      <c r="I26" s="266">
        <f>ProductionSequence!P35</f>
        <v>1909.0264266666666</v>
      </c>
      <c r="J26" s="53"/>
    </row>
    <row r="27" spans="1:10" s="59" customFormat="1" ht="12">
      <c r="A27" s="265"/>
      <c r="B27" s="255"/>
      <c r="C27" s="255"/>
      <c r="D27" s="255"/>
      <c r="E27" s="255"/>
      <c r="F27" s="267"/>
      <c r="G27" s="267"/>
      <c r="H27" s="267"/>
      <c r="I27" s="267"/>
      <c r="J27" s="257"/>
    </row>
    <row r="28" spans="1:10" s="59" customFormat="1" ht="12">
      <c r="A28" s="265" t="s">
        <v>258</v>
      </c>
      <c r="B28" s="255"/>
      <c r="C28" s="255"/>
      <c r="D28" s="255"/>
      <c r="E28" s="255"/>
      <c r="F28" s="267"/>
      <c r="G28" s="267"/>
      <c r="H28" s="267"/>
      <c r="I28" s="267"/>
      <c r="J28" s="257"/>
    </row>
    <row r="29" spans="1:10" ht="12">
      <c r="A29" s="50" t="s">
        <v>2</v>
      </c>
      <c r="B29" s="50" t="s">
        <v>157</v>
      </c>
      <c r="C29" s="50"/>
      <c r="D29" s="50"/>
      <c r="E29" s="50"/>
      <c r="F29" s="51">
        <f>ProductionSequence!H38</f>
        <v>83.32776</v>
      </c>
      <c r="G29" s="51">
        <f>ProductionSequence!L38</f>
        <v>3450</v>
      </c>
      <c r="H29" s="51">
        <f>ProductionSequence!O38</f>
        <v>318</v>
      </c>
      <c r="I29" s="51">
        <f>ProductionSequence!P38</f>
        <v>3851.32776</v>
      </c>
      <c r="J29" s="50"/>
    </row>
    <row r="30" spans="1:10" ht="12">
      <c r="A30" s="50"/>
      <c r="B30" s="50" t="s">
        <v>214</v>
      </c>
      <c r="C30" s="50"/>
      <c r="D30" s="50"/>
      <c r="E30" s="50"/>
      <c r="F30" s="51">
        <f>ProductionSequence!H39</f>
        <v>241.35263999999998</v>
      </c>
      <c r="G30" s="51">
        <f>ProductionSequence!L39</f>
        <v>0</v>
      </c>
      <c r="H30" s="51">
        <f>ProductionSequence!O39</f>
        <v>114.47999999999999</v>
      </c>
      <c r="I30" s="51">
        <f>ProductionSequence!P39</f>
        <v>355.83263999999997</v>
      </c>
      <c r="J30" s="52"/>
    </row>
    <row r="31" spans="1:10" ht="12">
      <c r="A31" s="254" t="s">
        <v>253</v>
      </c>
      <c r="B31" s="255"/>
      <c r="C31" s="255"/>
      <c r="D31" s="255"/>
      <c r="E31" s="255"/>
      <c r="F31" s="256">
        <f>ProductionSequence!H40</f>
        <v>558.22534</v>
      </c>
      <c r="G31" s="256">
        <f>ProductionSequence!L40</f>
        <v>4817.43</v>
      </c>
      <c r="H31" s="256">
        <f>ProductionSequence!O40</f>
        <v>668.72</v>
      </c>
      <c r="I31" s="256">
        <f>ProductionSequence!P40</f>
        <v>6044.37534</v>
      </c>
      <c r="J31" s="53"/>
    </row>
    <row r="32" spans="1:10" ht="12">
      <c r="A32" s="50" t="s">
        <v>16</v>
      </c>
      <c r="B32" s="50" t="s">
        <v>2</v>
      </c>
      <c r="C32" s="50"/>
      <c r="D32" s="50"/>
      <c r="E32" s="50"/>
      <c r="F32" s="51" t="s">
        <v>2</v>
      </c>
      <c r="G32" s="51" t="s">
        <v>2</v>
      </c>
      <c r="H32" s="51" t="s">
        <v>2</v>
      </c>
      <c r="I32" s="51" t="s">
        <v>2</v>
      </c>
      <c r="J32" s="53"/>
    </row>
    <row r="33" spans="1:10" ht="12">
      <c r="A33" s="50"/>
      <c r="B33" s="50" t="s">
        <v>159</v>
      </c>
      <c r="C33" s="50"/>
      <c r="D33" s="50"/>
      <c r="E33" s="50"/>
      <c r="F33" s="51">
        <f>ProductionSequence!H42</f>
        <v>0</v>
      </c>
      <c r="G33" s="51">
        <f>ProductionSequence!L42</f>
        <v>69</v>
      </c>
      <c r="H33" s="51">
        <f>ProductionSequence!O42</f>
        <v>15.899999999999999</v>
      </c>
      <c r="I33" s="51">
        <f>ProductionSequence!P42</f>
        <v>84.9</v>
      </c>
      <c r="J33" s="52"/>
    </row>
    <row r="34" spans="1:10" ht="12">
      <c r="A34" s="50"/>
      <c r="B34" s="50" t="s">
        <v>290</v>
      </c>
      <c r="C34" s="50"/>
      <c r="D34" s="50"/>
      <c r="E34" s="50"/>
      <c r="F34" s="51">
        <f>ProductionSequence!H43+ProductionSequence!H46</f>
        <v>28.825066666666668</v>
      </c>
      <c r="G34" s="51">
        <f>ProductionSequence!L43+ProductionSequence!L46</f>
        <v>0</v>
      </c>
      <c r="H34" s="51">
        <f>ProductionSequence!O43+ProductionSequence!O46</f>
        <v>5.6000000000000005</v>
      </c>
      <c r="I34" s="51">
        <f>ProductionSequence!P43+ProductionSequence!P46</f>
        <v>34.425066666666666</v>
      </c>
      <c r="J34" s="52"/>
    </row>
    <row r="35" spans="1:10" ht="12">
      <c r="A35" s="50"/>
      <c r="B35" s="50" t="s">
        <v>291</v>
      </c>
      <c r="C35" s="50"/>
      <c r="D35" s="50"/>
      <c r="E35" s="50"/>
      <c r="F35" s="51">
        <f>ProductionSequence!H44</f>
        <v>15.2696</v>
      </c>
      <c r="G35" s="51">
        <f>ProductionSequence!L44</f>
        <v>62.5</v>
      </c>
      <c r="H35" s="51">
        <f>ProductionSequence!O44</f>
        <v>14</v>
      </c>
      <c r="I35" s="51">
        <f>ProductionSequence!P44</f>
        <v>91.7696</v>
      </c>
      <c r="J35" s="53"/>
    </row>
    <row r="36" spans="1:10" ht="12">
      <c r="A36" s="50" t="s">
        <v>2</v>
      </c>
      <c r="B36" s="50" t="s">
        <v>235</v>
      </c>
      <c r="C36" s="50"/>
      <c r="D36" s="50"/>
      <c r="E36" s="50"/>
      <c r="F36" s="51">
        <f>ProductionSequence!H45</f>
        <v>13.427414</v>
      </c>
      <c r="G36" s="51">
        <f>ProductionSequence!L45</f>
        <v>79.8</v>
      </c>
      <c r="H36" s="51">
        <f>ProductionSequence!O45</f>
        <v>8.268</v>
      </c>
      <c r="I36" s="51">
        <f>ProductionSequence!P45</f>
        <v>101.495414</v>
      </c>
      <c r="J36" s="50"/>
    </row>
    <row r="37" spans="1:10" s="59" customFormat="1" ht="12">
      <c r="A37" s="254" t="s">
        <v>2</v>
      </c>
      <c r="B37" s="50" t="s">
        <v>162</v>
      </c>
      <c r="C37" s="255"/>
      <c r="D37" s="255"/>
      <c r="E37" s="255"/>
      <c r="F37" s="51">
        <f>ProductionSequence!H47</f>
        <v>0</v>
      </c>
      <c r="G37" s="51">
        <f>ProductionSequence!L47</f>
        <v>0</v>
      </c>
      <c r="H37" s="51">
        <f>ProductionSequence!O47</f>
        <v>21.2</v>
      </c>
      <c r="I37" s="51">
        <f>ProductionSequence!P47</f>
        <v>21.2</v>
      </c>
      <c r="J37" s="257"/>
    </row>
    <row r="38" spans="1:10" ht="12">
      <c r="A38" s="254" t="s">
        <v>292</v>
      </c>
      <c r="B38" s="255"/>
      <c r="C38" s="255"/>
      <c r="D38" s="255"/>
      <c r="E38" s="255"/>
      <c r="F38" s="256">
        <f>ProductionSequence!H48</f>
        <v>57.52208066666667</v>
      </c>
      <c r="G38" s="256">
        <f>ProductionSequence!L48</f>
        <v>211.3</v>
      </c>
      <c r="H38" s="256">
        <f>ProductionSequence!O48</f>
        <v>64.968</v>
      </c>
      <c r="I38" s="256">
        <f>ProductionSequence!P48</f>
        <v>333.79008066666665</v>
      </c>
      <c r="J38" s="53"/>
    </row>
    <row r="39" spans="1:10" ht="12">
      <c r="A39" s="50" t="s">
        <v>0</v>
      </c>
      <c r="B39" s="50"/>
      <c r="C39" s="50"/>
      <c r="D39" s="50"/>
      <c r="E39" s="50"/>
      <c r="J39" s="50"/>
    </row>
    <row r="40" spans="2:10" ht="12">
      <c r="B40" s="50" t="s">
        <v>286</v>
      </c>
      <c r="F40" s="51">
        <f>ProductionSequence!H50+ProductionSequence!H51+ProductionSequence!H52+ProductionSequence!H53</f>
        <v>13.427414</v>
      </c>
      <c r="G40" s="51">
        <f>ProductionSequence!L50+ProductionSequence!L51+ProductionSequence!L52+ProductionSequence!L53</f>
        <v>145.45</v>
      </c>
      <c r="H40" s="51">
        <f>ProductionSequence!O50+ProductionSequence!O51+ProductionSequence!O52+ProductionSequence!O53</f>
        <v>8.268</v>
      </c>
      <c r="I40" s="51">
        <f>ProductionSequence!P50+ProductionSequence!P51+ProductionSequence!P52+ProductionSequence!P53</f>
        <v>167.14541400000002</v>
      </c>
      <c r="J40" s="52"/>
    </row>
    <row r="41" spans="1:10" ht="12">
      <c r="A41" s="254" t="s">
        <v>293</v>
      </c>
      <c r="B41" s="255"/>
      <c r="C41" s="255"/>
      <c r="D41" s="255"/>
      <c r="E41" s="255"/>
      <c r="F41" s="256">
        <f>ProductionSequence!H54</f>
        <v>13.427414</v>
      </c>
      <c r="G41" s="256">
        <f>ProductionSequence!L54</f>
        <v>145.45</v>
      </c>
      <c r="H41" s="256">
        <f>ProductionSequence!O54</f>
        <v>8.268</v>
      </c>
      <c r="I41" s="256">
        <f>ProductionSequence!P54</f>
        <v>167.14541400000002</v>
      </c>
      <c r="J41" s="53"/>
    </row>
    <row r="42" spans="1:10" ht="12">
      <c r="A42" s="264" t="s">
        <v>296</v>
      </c>
      <c r="B42" s="263"/>
      <c r="C42" s="263"/>
      <c r="D42" s="263"/>
      <c r="E42" s="263"/>
      <c r="F42" s="266">
        <f>ProductionSequence!H55</f>
        <v>395.62989466666676</v>
      </c>
      <c r="G42" s="266">
        <f>ProductionSequence!L55</f>
        <v>3806.75</v>
      </c>
      <c r="H42" s="266">
        <f>ProductionSequence!O55</f>
        <v>505.71600000000024</v>
      </c>
      <c r="I42" s="266">
        <f>ProductionSequence!P55</f>
        <v>4708.09589466667</v>
      </c>
      <c r="J42" s="53"/>
    </row>
    <row r="43" spans="1:10" ht="12">
      <c r="A43" s="254"/>
      <c r="B43" s="255"/>
      <c r="C43" s="255"/>
      <c r="D43" s="255"/>
      <c r="E43" s="255"/>
      <c r="F43" s="256"/>
      <c r="G43" s="256"/>
      <c r="H43" s="256"/>
      <c r="I43" s="256"/>
      <c r="J43" s="53"/>
    </row>
    <row r="44" spans="1:10" ht="12">
      <c r="A44" s="265" t="s">
        <v>297</v>
      </c>
      <c r="B44" s="255"/>
      <c r="C44" s="255"/>
      <c r="D44" s="255"/>
      <c r="E44" s="255"/>
      <c r="F44" s="256"/>
      <c r="G44" s="256"/>
      <c r="H44" s="256"/>
      <c r="I44" s="256"/>
      <c r="J44" s="52"/>
    </row>
    <row r="45" ht="12">
      <c r="A45" s="255" t="s">
        <v>1</v>
      </c>
    </row>
    <row r="46" spans="2:10" ht="12">
      <c r="B46" s="50" t="s">
        <v>169</v>
      </c>
      <c r="F46" s="51">
        <f>ProductionSequence!H59</f>
        <v>0</v>
      </c>
      <c r="G46" s="51">
        <f>ProductionSequence!L59</f>
        <v>0</v>
      </c>
      <c r="H46" s="51">
        <f>ProductionSequence!O59</f>
        <v>254.39999999999998</v>
      </c>
      <c r="I46" s="51">
        <f>ProductionSequence!P59</f>
        <v>254.39999999999998</v>
      </c>
      <c r="J46" s="53"/>
    </row>
    <row r="47" spans="2:10" ht="12">
      <c r="B47" s="50" t="s">
        <v>237</v>
      </c>
      <c r="F47" s="51">
        <f>ProductionSequence!H60</f>
        <v>13.427414</v>
      </c>
      <c r="G47" s="51">
        <f>ProductionSequence!L60</f>
        <v>25.200000000000003</v>
      </c>
      <c r="H47" s="51">
        <f>ProductionSequence!O60</f>
        <v>8.268</v>
      </c>
      <c r="I47" s="51">
        <f>ProductionSequence!P60</f>
        <v>46.895414</v>
      </c>
      <c r="J47" s="53"/>
    </row>
    <row r="48" spans="2:10" ht="12">
      <c r="B48" s="50" t="s">
        <v>164</v>
      </c>
      <c r="F48" s="51">
        <f>ProductionSequence!H61</f>
        <v>0</v>
      </c>
      <c r="G48" s="51">
        <f>ProductionSequence!L61</f>
        <v>1258.4</v>
      </c>
      <c r="H48" s="51">
        <f>ProductionSequence!O61</f>
        <v>42.4</v>
      </c>
      <c r="I48" s="51">
        <f>ProductionSequence!P61</f>
        <v>1300.8000000000002</v>
      </c>
      <c r="J48" s="53"/>
    </row>
    <row r="49" spans="2:10" ht="12">
      <c r="B49" s="50" t="s">
        <v>165</v>
      </c>
      <c r="F49" s="51">
        <f>ProductionSequence!H62</f>
        <v>0.8529300000000001</v>
      </c>
      <c r="G49" s="51">
        <f>ProductionSequence!L62</f>
        <v>50</v>
      </c>
      <c r="H49" s="51">
        <f>ProductionSequence!O62</f>
        <v>21.2</v>
      </c>
      <c r="I49" s="51">
        <f>ProductionSequence!P62</f>
        <v>72.05293</v>
      </c>
      <c r="J49" s="53"/>
    </row>
    <row r="50" spans="1:10" ht="12">
      <c r="A50" s="254" t="s">
        <v>294</v>
      </c>
      <c r="B50" s="255"/>
      <c r="C50" s="255"/>
      <c r="D50" s="255"/>
      <c r="E50" s="255"/>
      <c r="F50" s="256">
        <f>ProductionSequence!H63</f>
        <v>14.280344000000001</v>
      </c>
      <c r="G50" s="256">
        <f>ProductionSequence!L63</f>
        <v>1333.6000000000001</v>
      </c>
      <c r="H50" s="256">
        <f>ProductionSequence!O63</f>
        <v>326.268</v>
      </c>
      <c r="I50" s="256">
        <f>ProductionSequence!P63</f>
        <v>1674.1483440000002</v>
      </c>
      <c r="J50" s="53"/>
    </row>
    <row r="51" ht="12">
      <c r="A51" s="12" t="s">
        <v>28</v>
      </c>
    </row>
    <row r="52" spans="2:10" ht="12">
      <c r="B52" s="50" t="s">
        <v>168</v>
      </c>
      <c r="F52" s="51">
        <f>ProductionSequence!H65</f>
        <v>0</v>
      </c>
      <c r="G52" s="51">
        <f>ProductionSequence!L65</f>
        <v>0</v>
      </c>
      <c r="H52" s="51">
        <f>ProductionSequence!O65</f>
        <v>63.599999999999994</v>
      </c>
      <c r="I52" s="51">
        <f>ProductionSequence!P65</f>
        <v>63.599999999999994</v>
      </c>
      <c r="J52" s="53"/>
    </row>
    <row r="53" spans="2:10" ht="12">
      <c r="B53" s="50" t="s">
        <v>239</v>
      </c>
      <c r="F53" s="51">
        <f>ProductionSequence!H66</f>
        <v>0</v>
      </c>
      <c r="G53" s="51">
        <f>ProductionSequence!L66</f>
        <v>0</v>
      </c>
      <c r="H53" s="51">
        <f>ProductionSequence!O66</f>
        <v>424</v>
      </c>
      <c r="I53" s="51">
        <f>ProductionSequence!P66</f>
        <v>424</v>
      </c>
      <c r="J53" s="53"/>
    </row>
    <row r="54" spans="1:10" ht="12">
      <c r="A54" s="254" t="s">
        <v>295</v>
      </c>
      <c r="B54" s="255"/>
      <c r="C54" s="255"/>
      <c r="D54" s="255"/>
      <c r="E54" s="255"/>
      <c r="F54" s="256">
        <f>ProductionSequence!H67</f>
        <v>0</v>
      </c>
      <c r="G54" s="256">
        <f>ProductionSequence!L67</f>
        <v>0</v>
      </c>
      <c r="H54" s="256">
        <f>ProductionSequence!O67</f>
        <v>487.6</v>
      </c>
      <c r="I54" s="256">
        <f>ProductionSequence!P67</f>
        <v>487.6</v>
      </c>
      <c r="J54" s="53"/>
    </row>
    <row r="55" ht="12">
      <c r="A55" s="12" t="s">
        <v>27</v>
      </c>
    </row>
    <row r="56" spans="2:10" ht="12">
      <c r="B56" s="50" t="s">
        <v>173</v>
      </c>
      <c r="F56" s="51">
        <f>ProductionSequence!H69</f>
        <v>0</v>
      </c>
      <c r="G56" s="51">
        <f>ProductionSequence!L69</f>
        <v>0</v>
      </c>
      <c r="H56" s="51">
        <f>ProductionSequence!O69</f>
        <v>14</v>
      </c>
      <c r="I56" s="51">
        <f>ProductionSequence!P69</f>
        <v>14</v>
      </c>
      <c r="J56" s="53"/>
    </row>
    <row r="57" spans="2:10" ht="12">
      <c r="B57" s="117" t="s">
        <v>184</v>
      </c>
      <c r="F57" s="51">
        <f>ProductionSequence!H70</f>
        <v>0</v>
      </c>
      <c r="G57" s="51">
        <f>ProductionSequence!L70</f>
        <v>0</v>
      </c>
      <c r="H57" s="51">
        <f>ProductionSequence!O70</f>
        <v>63.599999999999994</v>
      </c>
      <c r="I57" s="51">
        <f>ProductionSequence!P70</f>
        <v>63.599999999999994</v>
      </c>
      <c r="J57" s="53"/>
    </row>
    <row r="58" spans="1:10" ht="12">
      <c r="A58" s="264" t="s">
        <v>298</v>
      </c>
      <c r="B58" s="263"/>
      <c r="C58" s="263"/>
      <c r="D58" s="263"/>
      <c r="E58" s="263"/>
      <c r="F58" s="266">
        <f>ProductionSequence!H71</f>
        <v>14.280344000000001</v>
      </c>
      <c r="G58" s="266">
        <f>ProductionSequence!L71</f>
        <v>1333.6000000000001</v>
      </c>
      <c r="H58" s="266">
        <f>ProductionSequence!O71</f>
        <v>891.4679999999997</v>
      </c>
      <c r="I58" s="266">
        <f>ProductionSequence!P71</f>
        <v>2239.3483440000005</v>
      </c>
      <c r="J58" s="53"/>
    </row>
    <row r="59" ht="12">
      <c r="J59" s="46"/>
    </row>
    <row r="60" ht="12">
      <c r="A60" s="265" t="s">
        <v>299</v>
      </c>
    </row>
    <row r="61" spans="2:10" ht="12">
      <c r="B61" s="50" t="s">
        <v>175</v>
      </c>
      <c r="C61" s="50"/>
      <c r="F61" s="51">
        <f>ProductionSequence!H74</f>
        <v>0</v>
      </c>
      <c r="G61" s="51">
        <f>ProductionSequence!L74</f>
        <v>0</v>
      </c>
      <c r="H61" s="51">
        <f>ProductionSequence!O74</f>
        <v>159</v>
      </c>
      <c r="I61" s="51">
        <f>ProductionSequence!P74</f>
        <v>159</v>
      </c>
      <c r="J61" s="53"/>
    </row>
    <row r="62" spans="2:10" ht="12">
      <c r="B62" s="50" t="s">
        <v>219</v>
      </c>
      <c r="C62" s="50"/>
      <c r="F62" s="51">
        <f>ProductionSequence!H75+ProductionSequence!H76+ProductionSequence!H77</f>
        <v>13.427414</v>
      </c>
      <c r="G62" s="51">
        <f>ProductionSequence!L75+ProductionSequence!L76+ProductionSequence!L77</f>
        <v>29.9</v>
      </c>
      <c r="H62" s="51">
        <f>ProductionSequence!O75+ProductionSequence!O76+ProductionSequence!O77</f>
        <v>8.268</v>
      </c>
      <c r="I62" s="51">
        <f>ProductionSequence!P75+ProductionSequence!P76+ProductionSequence!P77</f>
        <v>51.595414</v>
      </c>
      <c r="J62" s="53"/>
    </row>
    <row r="63" spans="2:10" ht="12">
      <c r="B63" s="50" t="s">
        <v>173</v>
      </c>
      <c r="C63" s="50"/>
      <c r="F63" s="51">
        <f>ProductionSequence!H78</f>
        <v>0</v>
      </c>
      <c r="G63" s="51">
        <f>ProductionSequence!L78</f>
        <v>0</v>
      </c>
      <c r="H63" s="51">
        <f>ProductionSequence!O78</f>
        <v>14</v>
      </c>
      <c r="I63" s="51">
        <f>ProductionSequence!P78</f>
        <v>14</v>
      </c>
      <c r="J63" s="53"/>
    </row>
    <row r="64" spans="2:10" ht="12">
      <c r="B64" s="50" t="s">
        <v>242</v>
      </c>
      <c r="C64" s="50"/>
      <c r="F64" s="51">
        <f>ProductionSequence!H79</f>
        <v>0</v>
      </c>
      <c r="G64" s="51">
        <f>ProductionSequence!L79</f>
        <v>0</v>
      </c>
      <c r="H64" s="51">
        <f>ProductionSequence!O79</f>
        <v>63.599999999999994</v>
      </c>
      <c r="I64" s="51">
        <f>ProductionSequence!P79</f>
        <v>63.599999999999994</v>
      </c>
      <c r="J64" s="53"/>
    </row>
    <row r="65" spans="2:10" ht="12">
      <c r="B65" s="50" t="s">
        <v>364</v>
      </c>
      <c r="C65" s="50"/>
      <c r="F65" s="51">
        <f>ProductionSequence!H80+ProductionSequence!H81+ProductionSequence!H82+ProductionSequence!H83+ProductionSequence!H84</f>
        <v>13.427414</v>
      </c>
      <c r="G65" s="51">
        <f>ProductionSequence!L80+ProductionSequence!L81+ProductionSequence!L82+ProductionSequence!L83+ProductionSequence!L84</f>
        <v>308.69</v>
      </c>
      <c r="H65" s="51">
        <f>ProductionSequence!O80+ProductionSequence!O81+ProductionSequence!O82+ProductionSequence!O83+ProductionSequence!O84</f>
        <v>8.268</v>
      </c>
      <c r="I65" s="51">
        <f>ProductionSequence!P80+ProductionSequence!P81+ProductionSequence!P82+ProductionSequence!P83+ProductionSequence!P84</f>
        <v>330.38541399999997</v>
      </c>
      <c r="J65" s="53"/>
    </row>
    <row r="66" spans="2:10" ht="12">
      <c r="B66" s="50" t="s">
        <v>176</v>
      </c>
      <c r="C66" s="50"/>
      <c r="F66" s="51">
        <f>ProductionSequence!H85</f>
        <v>0</v>
      </c>
      <c r="G66" s="51">
        <f>ProductionSequence!L85</f>
        <v>0</v>
      </c>
      <c r="H66" s="51">
        <f>ProductionSequence!O85</f>
        <v>63.599999999999994</v>
      </c>
      <c r="I66" s="51">
        <f>ProductionSequence!P85</f>
        <v>63.599999999999994</v>
      </c>
      <c r="J66" s="53"/>
    </row>
    <row r="67" spans="2:10" ht="12">
      <c r="B67" s="50" t="s">
        <v>291</v>
      </c>
      <c r="C67" s="50"/>
      <c r="F67" s="51">
        <f>ProductionSequence!H86</f>
        <v>15.2696</v>
      </c>
      <c r="G67" s="51">
        <f>ProductionSequence!L86</f>
        <v>62.5</v>
      </c>
      <c r="H67" s="51">
        <f>ProductionSequence!O86</f>
        <v>14</v>
      </c>
      <c r="I67" s="51">
        <f>ProductionSequence!P86</f>
        <v>91.7696</v>
      </c>
      <c r="J67" s="53"/>
    </row>
    <row r="68" spans="2:10" ht="12">
      <c r="B68" s="50" t="s">
        <v>178</v>
      </c>
      <c r="C68" s="50"/>
      <c r="F68" s="51">
        <f>ProductionSequence!H87</f>
        <v>0</v>
      </c>
      <c r="G68" s="51">
        <f>ProductionSequence!L87</f>
        <v>0</v>
      </c>
      <c r="H68" s="51">
        <f>ProductionSequence!O87</f>
        <v>7</v>
      </c>
      <c r="I68" s="51">
        <f>ProductionSequence!P87</f>
        <v>7</v>
      </c>
      <c r="J68" s="53"/>
    </row>
    <row r="69" spans="2:10" ht="12">
      <c r="B69" s="50" t="s">
        <v>179</v>
      </c>
      <c r="C69" s="50"/>
      <c r="F69" s="51">
        <f>ProductionSequence!H88</f>
        <v>0</v>
      </c>
      <c r="G69" s="51">
        <f>ProductionSequence!L88</f>
        <v>0</v>
      </c>
      <c r="H69" s="51">
        <f>ProductionSequence!O88</f>
        <v>14</v>
      </c>
      <c r="I69" s="51">
        <f>ProductionSequence!P88</f>
        <v>14</v>
      </c>
      <c r="J69" s="53"/>
    </row>
    <row r="70" spans="1:10" ht="12">
      <c r="A70" s="254" t="s">
        <v>300</v>
      </c>
      <c r="B70" s="255"/>
      <c r="C70" s="255"/>
      <c r="D70" s="255"/>
      <c r="E70" s="255"/>
      <c r="F70" s="256">
        <f>ProductionSequence!H89</f>
        <v>42.124428</v>
      </c>
      <c r="G70" s="256">
        <f>ProductionSequence!L89</f>
        <v>401.09000000000003</v>
      </c>
      <c r="H70" s="256">
        <f>ProductionSequence!O89</f>
        <v>429.336</v>
      </c>
      <c r="I70" s="256">
        <f>ProductionSequence!P89</f>
        <v>872.5504280000001</v>
      </c>
      <c r="J70" s="53"/>
    </row>
    <row r="71" ht="12">
      <c r="A71" s="12" t="s">
        <v>29</v>
      </c>
    </row>
    <row r="72" spans="2:10" ht="12">
      <c r="B72" s="50" t="s">
        <v>301</v>
      </c>
      <c r="F72" s="51">
        <f>ProductionSequence!H91+ProductionSequence!H107</f>
        <v>0</v>
      </c>
      <c r="G72" s="51">
        <f>ProductionSequence!L91+ProductionSequence!L107</f>
        <v>14</v>
      </c>
      <c r="H72" s="51">
        <f>ProductionSequence!O91+ProductionSequence!O107</f>
        <v>10.6</v>
      </c>
      <c r="I72" s="51">
        <f>ProductionSequence!P91+ProductionSequence!P107</f>
        <v>24.6</v>
      </c>
      <c r="J72" s="53"/>
    </row>
    <row r="73" spans="2:10" ht="12">
      <c r="B73" s="50" t="s">
        <v>181</v>
      </c>
      <c r="F73" s="51">
        <f>ProductionSequence!H92</f>
        <v>0</v>
      </c>
      <c r="G73" s="51">
        <f>ProductionSequence!L92</f>
        <v>0</v>
      </c>
      <c r="H73" s="51">
        <f>ProductionSequence!O92</f>
        <v>106</v>
      </c>
      <c r="I73" s="51">
        <f>ProductionSequence!P92</f>
        <v>106</v>
      </c>
      <c r="J73" s="53"/>
    </row>
    <row r="74" spans="2:10" ht="12">
      <c r="B74" s="50" t="s">
        <v>311</v>
      </c>
      <c r="F74" s="51">
        <f>ProductionSequence!H93+ProductionSequence!H94+ProductionSequence!H95+ProductionSequence!H96+ProductionSequence!H104+ProductionSequence!H105+ProductionSequence!H106+ProductionSequence!H113+ProductionSequence!H114+ProductionSequence!H115+ProductionSequence!H120+ProductionSequence!H121+ProductionSequence!H122</f>
        <v>61.0784</v>
      </c>
      <c r="G74" s="51">
        <f>ProductionSequence!L93+ProductionSequence!L94+ProductionSequence!L95+ProductionSequence!L96+ProductionSequence!L104+ProductionSequence!L105+ProductionSequence!L106+ProductionSequence!L113+ProductionSequence!L114+ProductionSequence!L115+ProductionSequence!L120+ProductionSequence!L121+ProductionSequence!L122</f>
        <v>70.8644</v>
      </c>
      <c r="H74" s="51">
        <f>ProductionSequence!O93+ProductionSequence!O94+ProductionSequence!O95+ProductionSequence!O96+ProductionSequence!O104+ProductionSequence!O105+ProductionSequence!O106+ProductionSequence!O113+ProductionSequence!O114+ProductionSequence!O115+ProductionSequence!O120+ProductionSequence!O121+ProductionSequence!O122</f>
        <v>56</v>
      </c>
      <c r="I74" s="51">
        <f>ProductionSequence!P93+ProductionSequence!P94+ProductionSequence!P95+ProductionSequence!P96+ProductionSequence!P104+ProductionSequence!P105+ProductionSequence!P106+ProductionSequence!P113+ProductionSequence!P114+ProductionSequence!P115+ProductionSequence!P120+ProductionSequence!P121+ProductionSequence!P122</f>
        <v>187.94279999999998</v>
      </c>
      <c r="J74" s="53"/>
    </row>
    <row r="75" spans="2:10" ht="12">
      <c r="B75" s="50" t="s">
        <v>302</v>
      </c>
      <c r="F75" s="51">
        <f>ProductionSequence!H97+ProductionSequence!H109</f>
        <v>0</v>
      </c>
      <c r="G75" s="51">
        <f>ProductionSequence!L97+ProductionSequence!L109</f>
        <v>0</v>
      </c>
      <c r="H75" s="51">
        <f>ProductionSequence!O97+ProductionSequence!O109</f>
        <v>127.19999999999999</v>
      </c>
      <c r="I75" s="51">
        <f>ProductionSequence!P97+ProductionSequence!P109</f>
        <v>127.19999999999999</v>
      </c>
      <c r="J75" s="53"/>
    </row>
    <row r="76" spans="2:10" ht="12">
      <c r="B76" s="50" t="s">
        <v>303</v>
      </c>
      <c r="F76" s="51">
        <f>ProductionSequence!H98+ProductionSequence!H110</f>
        <v>0</v>
      </c>
      <c r="G76" s="51">
        <f>ProductionSequence!L98+ProductionSequence!L110</f>
        <v>0</v>
      </c>
      <c r="H76" s="51">
        <f>ProductionSequence!O98+ProductionSequence!O110</f>
        <v>127.19999999999999</v>
      </c>
      <c r="I76" s="51">
        <f>ProductionSequence!P98+ProductionSequence!P110</f>
        <v>127.19999999999999</v>
      </c>
      <c r="J76" s="53"/>
    </row>
    <row r="77" spans="2:10" ht="12">
      <c r="B77" s="255" t="s">
        <v>304</v>
      </c>
      <c r="F77" s="51">
        <f>ProductionSequence!H99+ProductionSequence!H116</f>
        <v>0</v>
      </c>
      <c r="G77" s="51">
        <f>ProductionSequence!L99+ProductionSequence!L116</f>
        <v>0</v>
      </c>
      <c r="H77" s="51">
        <f>ProductionSequence!O99+ProductionSequence!O116</f>
        <v>28</v>
      </c>
      <c r="I77" s="51">
        <f>ProductionSequence!P99+ProductionSequence!P116</f>
        <v>28</v>
      </c>
      <c r="J77" s="53"/>
    </row>
    <row r="78" spans="2:10" ht="12">
      <c r="B78" s="50" t="s">
        <v>355</v>
      </c>
      <c r="F78" s="51">
        <f>ProductionSequence!H100+ProductionSequence!H101+ProductionSequence!H102+ProductionSequence!H112+ProductionSequence!H117+ProductionSequence!H118+ProductionSequence!H119</f>
        <v>40.282242000000004</v>
      </c>
      <c r="G78" s="51">
        <f>ProductionSequence!L100+ProductionSequence!L101+ProductionSequence!L102+ProductionSequence!L112+ProductionSequence!L117+ProductionSequence!L118+ProductionSequence!L119</f>
        <v>373.79999999999995</v>
      </c>
      <c r="H78" s="51">
        <f>ProductionSequence!O100+ProductionSequence!O101+ProductionSequence!O102+ProductionSequence!O112+ProductionSequence!O117+ProductionSequence!O118+ProductionSequence!O119</f>
        <v>24.804000000000002</v>
      </c>
      <c r="I78" s="51">
        <f>ProductionSequence!P100+ProductionSequence!P101+ProductionSequence!P102+ProductionSequence!P112+ProductionSequence!P117+ProductionSequence!P118+ProductionSequence!P119</f>
        <v>438.8862419999999</v>
      </c>
      <c r="J78" s="53"/>
    </row>
    <row r="79" spans="2:10" ht="12">
      <c r="B79" s="50" t="s">
        <v>306</v>
      </c>
      <c r="F79" s="51">
        <f>ProductionSequence!H103+ProductionSequence!H108</f>
        <v>258.58</v>
      </c>
      <c r="G79" s="51">
        <f>ProductionSequence!L103+ProductionSequence!L108</f>
        <v>0</v>
      </c>
      <c r="H79" s="51">
        <f>ProductionSequence!O103+ProductionSequence!O108</f>
        <v>140</v>
      </c>
      <c r="I79" s="51">
        <f>ProductionSequence!P103+ProductionSequence!P108</f>
        <v>398.58</v>
      </c>
      <c r="J79" s="53"/>
    </row>
    <row r="80" spans="2:10" ht="12">
      <c r="B80" s="50" t="s">
        <v>222</v>
      </c>
      <c r="F80" s="51">
        <f>ProductionSequence!H111</f>
        <v>0</v>
      </c>
      <c r="G80" s="51">
        <f>ProductionSequence!L111</f>
        <v>35</v>
      </c>
      <c r="H80" s="51">
        <f>ProductionSequence!O111</f>
        <v>0</v>
      </c>
      <c r="I80" s="51">
        <f>ProductionSequence!P111</f>
        <v>35</v>
      </c>
      <c r="J80" s="53"/>
    </row>
    <row r="81" spans="1:10" ht="12">
      <c r="A81" s="254" t="s">
        <v>307</v>
      </c>
      <c r="B81" s="255"/>
      <c r="C81" s="255"/>
      <c r="D81" s="255"/>
      <c r="E81" s="255"/>
      <c r="F81" s="256">
        <f>ProductionSequence!H123</f>
        <v>359.940642</v>
      </c>
      <c r="G81" s="256">
        <f>ProductionSequence!L123</f>
        <v>493.6643999999999</v>
      </c>
      <c r="H81" s="256">
        <f>ProductionSequence!O123</f>
        <v>619.8040000000001</v>
      </c>
      <c r="I81" s="256">
        <f>ProductionSequence!P123</f>
        <v>1473.4090420000002</v>
      </c>
      <c r="J81" s="53"/>
    </row>
    <row r="82" spans="1:2" ht="12">
      <c r="A82" s="12" t="s">
        <v>25</v>
      </c>
      <c r="B82" s="50"/>
    </row>
    <row r="83" spans="2:10" ht="12">
      <c r="B83" s="50" t="s">
        <v>306</v>
      </c>
      <c r="F83" s="51">
        <f>ProductionSequence!H125+ProductionSequence!H131</f>
        <v>181.00599999999997</v>
      </c>
      <c r="G83" s="51">
        <f>ProductionSequence!L125+ProductionSequence!L131</f>
        <v>0</v>
      </c>
      <c r="H83" s="51">
        <f>ProductionSequence!O125+ProductionSequence!O131</f>
        <v>98</v>
      </c>
      <c r="I83" s="51">
        <f>ProductionSequence!P125+ProductionSequence!P131</f>
        <v>279.006</v>
      </c>
      <c r="J83" s="53"/>
    </row>
    <row r="84" spans="2:10" ht="12">
      <c r="B84" s="50" t="s">
        <v>312</v>
      </c>
      <c r="F84" s="51">
        <f>ProductionSequence!H127+ProductionSequence!H128+ProductionSequence!H129+ProductionSequence!H135+ProductionSequence!H136+ProductionSequence!H137+ProductionSequence!H138+ProductionSequence!H139</f>
        <v>45.808800000000005</v>
      </c>
      <c r="G84" s="51">
        <f>ProductionSequence!L127+ProductionSequence!L128+ProductionSequence!L129+ProductionSequence!L135+ProductionSequence!L136+ProductionSequence!L137+ProductionSequence!L138+ProductionSequence!L139</f>
        <v>82.2388</v>
      </c>
      <c r="H84" s="51">
        <f>ProductionSequence!O127+ProductionSequence!O128+ProductionSequence!O129+ProductionSequence!O135+ProductionSequence!O136+ProductionSequence!O137+ProductionSequence!O138+ProductionSequence!O139</f>
        <v>42</v>
      </c>
      <c r="I84" s="51">
        <f>ProductionSequence!P127+ProductionSequence!P128+ProductionSequence!P129+ProductionSequence!P135+ProductionSequence!P136+ProductionSequence!P137+ProductionSequence!P138+ProductionSequence!P139</f>
        <v>170.0476</v>
      </c>
      <c r="J84" s="53"/>
    </row>
    <row r="85" spans="2:10" ht="12">
      <c r="B85" s="50" t="s">
        <v>160</v>
      </c>
      <c r="F85" s="51">
        <f>ProductionSequence!H130</f>
        <v>0</v>
      </c>
      <c r="G85" s="51">
        <f>ProductionSequence!L130</f>
        <v>7</v>
      </c>
      <c r="H85" s="51">
        <f>ProductionSequence!O130</f>
        <v>5.3</v>
      </c>
      <c r="I85" s="51">
        <f>ProductionSequence!P130</f>
        <v>12.3</v>
      </c>
      <c r="J85" s="53"/>
    </row>
    <row r="86" spans="2:10" ht="12">
      <c r="B86" s="50" t="s">
        <v>305</v>
      </c>
      <c r="F86" s="51">
        <f>ProductionSequence!H126+ProductionSequence!H132+ProductionSequence!H133+ProductionSequence!H134</f>
        <v>26.854828</v>
      </c>
      <c r="G86" s="51">
        <f>ProductionSequence!L126+ProductionSequence!L132+ProductionSequence!L133+ProductionSequence!L134</f>
        <v>175.8</v>
      </c>
      <c r="H86" s="51">
        <f>ProductionSequence!O126+ProductionSequence!O132+ProductionSequence!O133+ProductionSequence!O134</f>
        <v>16.536</v>
      </c>
      <c r="I86" s="51">
        <f>ProductionSequence!P126+ProductionSequence!P132+ProductionSequence!P133+ProductionSequence!P134</f>
        <v>219.190828</v>
      </c>
      <c r="J86" s="53"/>
    </row>
    <row r="87" spans="1:10" ht="12">
      <c r="A87" s="264" t="s">
        <v>309</v>
      </c>
      <c r="B87" s="263"/>
      <c r="C87" s="263"/>
      <c r="D87" s="263"/>
      <c r="E87" s="263"/>
      <c r="F87" s="266">
        <f>ProductionSequence!H140</f>
        <v>655.7346980000003</v>
      </c>
      <c r="G87" s="266">
        <f>ProductionSequence!L140</f>
        <v>1159.7932000000003</v>
      </c>
      <c r="H87" s="266">
        <f>ProductionSequence!O140</f>
        <v>1133.376</v>
      </c>
      <c r="I87" s="266">
        <f>ProductionSequence!P140</f>
        <v>2948.903897999997</v>
      </c>
      <c r="J87" s="53"/>
    </row>
    <row r="88" ht="12">
      <c r="J88" s="46"/>
    </row>
    <row r="89" ht="12">
      <c r="A89" s="265" t="s">
        <v>310</v>
      </c>
    </row>
    <row r="90" spans="2:10" ht="12">
      <c r="B90" s="50" t="s">
        <v>229</v>
      </c>
      <c r="F90" s="51">
        <f>ProductionSequence!H143+ProductionSequence!H146</f>
        <v>0</v>
      </c>
      <c r="G90" s="51">
        <f>ProductionSequence!L143+ProductionSequence!L146</f>
        <v>0</v>
      </c>
      <c r="H90" s="51">
        <f>ProductionSequence!O143+ProductionSequence!O146</f>
        <v>148.39999999999998</v>
      </c>
      <c r="I90" s="51">
        <f>ProductionSequence!P143+ProductionSequence!P146</f>
        <v>148.39999999999998</v>
      </c>
      <c r="J90" s="53"/>
    </row>
    <row r="91" spans="2:10" ht="12">
      <c r="B91" s="50" t="s">
        <v>230</v>
      </c>
      <c r="F91" s="51">
        <f>ProductionSequence!H144+ProductionSequence!H147</f>
        <v>0</v>
      </c>
      <c r="G91" s="51">
        <f>ProductionSequence!L144+ProductionSequence!L147</f>
        <v>562.5</v>
      </c>
      <c r="H91" s="51">
        <f>ProductionSequence!O144+ProductionSequence!O147</f>
        <v>148.39999999999998</v>
      </c>
      <c r="I91" s="51">
        <f>ProductionSequence!P144+ProductionSequence!P147</f>
        <v>710.9000000000001</v>
      </c>
      <c r="J91" s="53"/>
    </row>
    <row r="92" spans="2:10" ht="12">
      <c r="B92" s="50" t="s">
        <v>189</v>
      </c>
      <c r="F92" s="51">
        <f>ProductionSequence!H145+ProductionSequence!H148</f>
        <v>0</v>
      </c>
      <c r="G92" s="51">
        <f>ProductionSequence!L145+ProductionSequence!L148</f>
        <v>0</v>
      </c>
      <c r="H92" s="51">
        <f>ProductionSequence!O145+ProductionSequence!O148</f>
        <v>517.5</v>
      </c>
      <c r="I92" s="51">
        <f>ProductionSequence!P145+ProductionSequence!P148</f>
        <v>517.5</v>
      </c>
      <c r="J92" s="53"/>
    </row>
    <row r="93" spans="2:10" ht="12">
      <c r="B93" s="50" t="s">
        <v>313</v>
      </c>
      <c r="F93" s="51">
        <f>ProductionSequence!H149</f>
        <v>14.412533333333334</v>
      </c>
      <c r="G93" s="51">
        <f>ProductionSequence!L149</f>
        <v>0</v>
      </c>
      <c r="H93" s="51">
        <f>ProductionSequence!O149</f>
        <v>2.8000000000000003</v>
      </c>
      <c r="I93" s="51">
        <f>ProductionSequence!P149</f>
        <v>17.212533333333333</v>
      </c>
      <c r="J93" s="53"/>
    </row>
    <row r="94" spans="2:10" ht="12">
      <c r="B94" s="50" t="s">
        <v>308</v>
      </c>
      <c r="F94" s="51">
        <f>ProductionSequence!H150+ProductionSequence!H151</f>
        <v>13.427414</v>
      </c>
      <c r="G94" s="51">
        <f>ProductionSequence!L150+ProductionSequence!L151</f>
        <v>105.80000000000001</v>
      </c>
      <c r="H94" s="51">
        <f>ProductionSequence!O150+ProductionSequence!O151</f>
        <v>8.268</v>
      </c>
      <c r="I94" s="51">
        <f>ProductionSequence!P150+ProductionSequence!P151</f>
        <v>127.49541400000001</v>
      </c>
      <c r="J94" s="53"/>
    </row>
    <row r="95" spans="2:10" ht="12">
      <c r="B95" s="50" t="s">
        <v>314</v>
      </c>
      <c r="F95" s="51">
        <f>ProductionSequence!H152+ProductionSequence!H153+ProductionSequence!H154</f>
        <v>15.2696</v>
      </c>
      <c r="G95" s="51">
        <f>ProductionSequence!L152+ProductionSequence!L153+ProductionSequence!L154</f>
        <v>17.4254</v>
      </c>
      <c r="H95" s="51">
        <f>ProductionSequence!O152+ProductionSequence!O153+ProductionSequence!O154</f>
        <v>14</v>
      </c>
      <c r="I95" s="51">
        <f>ProductionSequence!P152+ProductionSequence!P153+ProductionSequence!P154</f>
        <v>46.695</v>
      </c>
      <c r="J95" s="53"/>
    </row>
    <row r="96" spans="1:10" ht="12">
      <c r="A96" s="254" t="s">
        <v>315</v>
      </c>
      <c r="B96" s="255"/>
      <c r="C96" s="255"/>
      <c r="D96" s="255"/>
      <c r="E96" s="255"/>
      <c r="F96" s="256">
        <f>ProductionSequence!H155</f>
        <v>296.77917533333334</v>
      </c>
      <c r="G96" s="256">
        <f>ProductionSequence!L155</f>
        <v>950.7641999999994</v>
      </c>
      <c r="H96" s="256">
        <f>ProductionSequence!O155</f>
        <v>1001.204</v>
      </c>
      <c r="I96" s="256">
        <f>ProductionSequence!P155</f>
        <v>2248.7473753333334</v>
      </c>
      <c r="J96" s="53"/>
    </row>
    <row r="97" spans="1:10" ht="12">
      <c r="A97" s="12" t="s">
        <v>17</v>
      </c>
      <c r="B97" s="50"/>
      <c r="J97" s="46"/>
    </row>
    <row r="98" spans="2:10" ht="12">
      <c r="B98" s="50" t="s">
        <v>160</v>
      </c>
      <c r="F98" s="51">
        <f>ProductionSequence!H157</f>
        <v>0</v>
      </c>
      <c r="G98" s="51">
        <f>ProductionSequence!L157</f>
        <v>7</v>
      </c>
      <c r="H98" s="51">
        <f>ProductionSequence!O157</f>
        <v>5.3</v>
      </c>
      <c r="I98" s="51">
        <f>ProductionSequence!P157</f>
        <v>12.3</v>
      </c>
      <c r="J98" s="52"/>
    </row>
    <row r="99" spans="2:10" ht="12">
      <c r="B99" s="50" t="s">
        <v>316</v>
      </c>
      <c r="F99" s="51">
        <f>ProductionSequence!H158+ProductionSequence!H159+ProductionSequence!H166+ProductionSequence!H167</f>
        <v>30.5392</v>
      </c>
      <c r="G99" s="51">
        <f>ProductionSequence!L158+ProductionSequence!L159+ProductionSequence!L166+ProductionSequence!L167</f>
        <v>61.6134</v>
      </c>
      <c r="H99" s="51">
        <f>ProductionSequence!O158+ProductionSequence!O159+ProductionSequence!O166+ProductionSequence!O167</f>
        <v>28</v>
      </c>
      <c r="I99" s="51">
        <f>ProductionSequence!P158+ProductionSequence!P159+ProductionSequence!P166+ProductionSequence!P167</f>
        <v>120.15259999999999</v>
      </c>
      <c r="J99" s="52"/>
    </row>
    <row r="100" spans="2:10" ht="12">
      <c r="B100" s="50" t="s">
        <v>317</v>
      </c>
      <c r="F100" s="51">
        <f>ProductionSequence!H160+ProductionSequence!H168+ProductionSequence!H172+ProductionSequence!H177</f>
        <v>86.4752</v>
      </c>
      <c r="G100" s="51">
        <f>ProductionSequence!L160+ProductionSequence!L168+ProductionSequence!L172+ProductionSequence!L177</f>
        <v>0</v>
      </c>
      <c r="H100" s="51">
        <f>ProductionSequence!O160+ProductionSequence!O168+ProductionSequence!O172+ProductionSequence!O177</f>
        <v>16.8</v>
      </c>
      <c r="I100" s="51">
        <f>ProductionSequence!P160+ProductionSequence!P168+ProductionSequence!P172+ProductionSequence!P177</f>
        <v>103.2752</v>
      </c>
      <c r="J100" s="52"/>
    </row>
    <row r="101" spans="2:10" ht="12">
      <c r="B101" s="50" t="s">
        <v>305</v>
      </c>
      <c r="F101" s="51">
        <f>ProductionSequence!H161+ProductionSequence!H162+ProductionSequence!H176</f>
        <v>26.854828</v>
      </c>
      <c r="G101" s="51">
        <f>ProductionSequence!L161+ProductionSequence!L162+ProductionSequence!L176</f>
        <v>206.5</v>
      </c>
      <c r="H101" s="51">
        <f>ProductionSequence!O161+ProductionSequence!O162+ProductionSequence!O176</f>
        <v>16.536</v>
      </c>
      <c r="I101" s="51">
        <f>ProductionSequence!P161+ProductionSequence!P162+ProductionSequence!P176</f>
        <v>249.890828</v>
      </c>
      <c r="J101" s="52"/>
    </row>
    <row r="102" spans="2:10" ht="12">
      <c r="B102" s="50" t="s">
        <v>229</v>
      </c>
      <c r="F102" s="51">
        <f>ProductionSequence!H163+ProductionSequence!H169+ProductionSequence!H173+ProductionSequence!H178</f>
        <v>0</v>
      </c>
      <c r="G102" s="51">
        <f>ProductionSequence!L163+ProductionSequence!L169+ProductionSequence!L173+ProductionSequence!L178</f>
        <v>0</v>
      </c>
      <c r="H102" s="51">
        <f>ProductionSequence!O163+ProductionSequence!O169+ProductionSequence!O173+ProductionSequence!O178</f>
        <v>402.79999999999995</v>
      </c>
      <c r="I102" s="51">
        <f>ProductionSequence!P163+ProductionSequence!P169+ProductionSequence!P173+ProductionSequence!P178</f>
        <v>402.79999999999995</v>
      </c>
      <c r="J102" s="52"/>
    </row>
    <row r="103" spans="2:10" ht="12">
      <c r="B103" s="50" t="s">
        <v>230</v>
      </c>
      <c r="F103" s="51">
        <f>ProductionSequence!H164+ProductionSequence!H170+ProductionSequence!H174+ProductionSequence!H179</f>
        <v>0</v>
      </c>
      <c r="G103" s="51">
        <f>ProductionSequence!L164+ProductionSequence!L170+ProductionSequence!L174+ProductionSequence!L179</f>
        <v>1687.5</v>
      </c>
      <c r="H103" s="51">
        <f>ProductionSequence!O164+ProductionSequence!O170+ProductionSequence!O174+ProductionSequence!O179</f>
        <v>402.79999999999995</v>
      </c>
      <c r="I103" s="51">
        <f>ProductionSequence!P164+ProductionSequence!P170+ProductionSequence!P174+ProductionSequence!P179</f>
        <v>2090.3</v>
      </c>
      <c r="J103" s="52"/>
    </row>
    <row r="104" spans="2:10" ht="12">
      <c r="B104" s="50" t="s">
        <v>189</v>
      </c>
      <c r="F104" s="51">
        <f>ProductionSequence!H165+ProductionSequence!H171+ProductionSequence!H175+ProductionSequence!H180</f>
        <v>0</v>
      </c>
      <c r="G104" s="51">
        <f>ProductionSequence!L165+ProductionSequence!L171+ProductionSequence!L175+ProductionSequence!L180</f>
        <v>0</v>
      </c>
      <c r="H104" s="51">
        <f>ProductionSequence!O165+ProductionSequence!O171+ProductionSequence!O175+ProductionSequence!O180</f>
        <v>1552.5</v>
      </c>
      <c r="I104" s="51">
        <f>ProductionSequence!P165+ProductionSequence!P171+ProductionSequence!P175+ProductionSequence!P180</f>
        <v>1552.5</v>
      </c>
      <c r="J104" s="52"/>
    </row>
    <row r="105" spans="2:10" ht="12">
      <c r="B105" s="50" t="s">
        <v>193</v>
      </c>
      <c r="F105" s="51">
        <f>ProductionSequence!H181</f>
        <v>0</v>
      </c>
      <c r="G105" s="51">
        <f>ProductionSequence!L181</f>
        <v>0</v>
      </c>
      <c r="H105" s="51">
        <f>ProductionSequence!O181</f>
        <v>63.599999999999994</v>
      </c>
      <c r="I105" s="51">
        <f>ProductionSequence!P181</f>
        <v>63.599999999999994</v>
      </c>
      <c r="J105" s="52"/>
    </row>
    <row r="106" spans="1:10" ht="12">
      <c r="A106" s="254" t="s">
        <v>318</v>
      </c>
      <c r="B106" s="255"/>
      <c r="C106" s="255"/>
      <c r="D106" s="255"/>
      <c r="E106" s="255"/>
      <c r="F106" s="256">
        <f>ProductionSequence!H182</f>
        <v>143.869228</v>
      </c>
      <c r="G106" s="256">
        <f>ProductionSequence!L182</f>
        <v>1962.6134000000002</v>
      </c>
      <c r="H106" s="256">
        <f>ProductionSequence!O182</f>
        <v>2488.336</v>
      </c>
      <c r="I106" s="256">
        <f>ProductionSequence!P182</f>
        <v>4594.818628</v>
      </c>
      <c r="J106" s="53"/>
    </row>
    <row r="107" spans="1:10" ht="12">
      <c r="A107" s="264" t="s">
        <v>319</v>
      </c>
      <c r="B107" s="263"/>
      <c r="C107" s="263"/>
      <c r="D107" s="263"/>
      <c r="E107" s="263"/>
      <c r="F107" s="266">
        <f>ProductionSequence!H183</f>
        <v>186.97877533333337</v>
      </c>
      <c r="G107" s="266">
        <f>ProductionSequence!L183</f>
        <v>2648.3387999999995</v>
      </c>
      <c r="H107" s="266">
        <f>ProductionSequence!O183</f>
        <v>3327.7039999999997</v>
      </c>
      <c r="I107" s="266">
        <f>ProductionSequence!P183</f>
        <v>6163.021575333333</v>
      </c>
      <c r="J107" s="53"/>
    </row>
    <row r="108" spans="1:10" ht="12">
      <c r="A108" s="268" t="s">
        <v>320</v>
      </c>
      <c r="B108" s="269"/>
      <c r="C108" s="269"/>
      <c r="D108" s="269"/>
      <c r="E108" s="269"/>
      <c r="F108" s="270">
        <f>ProductionSequence!H184</f>
        <v>1672.2186586666671</v>
      </c>
      <c r="G108" s="270">
        <f>ProductionSequence!L184</f>
        <v>10389.312</v>
      </c>
      <c r="H108" s="270">
        <f>ProductionSequence!O184</f>
        <v>6418.864</v>
      </c>
      <c r="I108" s="270">
        <f>ProductionSequence!P184</f>
        <v>18480.394658666668</v>
      </c>
      <c r="J108" s="53"/>
    </row>
    <row r="109" spans="1:10" ht="12">
      <c r="A109" s="273"/>
      <c r="B109" s="118"/>
      <c r="C109" s="118"/>
      <c r="D109" s="118"/>
      <c r="E109" s="118"/>
      <c r="F109" s="274"/>
      <c r="G109" s="274"/>
      <c r="H109" s="274"/>
      <c r="I109" s="274"/>
      <c r="J109" s="29"/>
    </row>
    <row r="110" ht="12">
      <c r="A110" s="275" t="s">
        <v>321</v>
      </c>
    </row>
    <row r="111" spans="2:10" ht="12">
      <c r="B111" s="314" t="s">
        <v>19</v>
      </c>
      <c r="I111" s="51">
        <f>ProductionSequence!P186</f>
        <v>16</v>
      </c>
      <c r="J111" s="52"/>
    </row>
    <row r="112" spans="2:10" ht="12">
      <c r="B112" s="314" t="s">
        <v>20</v>
      </c>
      <c r="I112" s="51">
        <f>ProductionSequence!P187</f>
        <v>100</v>
      </c>
      <c r="J112" s="52"/>
    </row>
    <row r="113" spans="2:10" ht="12">
      <c r="B113" s="314" t="s">
        <v>22</v>
      </c>
      <c r="I113" s="51">
        <f>ProductionSequence!P188</f>
        <v>25</v>
      </c>
      <c r="J113" s="52"/>
    </row>
    <row r="114" spans="2:10" ht="12">
      <c r="B114" s="141" t="s">
        <v>349</v>
      </c>
      <c r="I114" s="51">
        <f>ProductionSequence!P189</f>
        <v>0</v>
      </c>
      <c r="J114" s="52"/>
    </row>
    <row r="115" spans="1:10" ht="12">
      <c r="A115" s="276" t="s">
        <v>322</v>
      </c>
      <c r="B115" s="277"/>
      <c r="C115" s="277"/>
      <c r="D115" s="277"/>
      <c r="E115" s="277"/>
      <c r="F115" s="277"/>
      <c r="G115" s="277"/>
      <c r="H115" s="277"/>
      <c r="I115" s="310">
        <f>ProductionSequence!P190</f>
        <v>141</v>
      </c>
      <c r="J115" s="53"/>
    </row>
    <row r="116" spans="1:10" ht="12">
      <c r="A116" s="268" t="s">
        <v>367</v>
      </c>
      <c r="B116" s="269"/>
      <c r="C116" s="269"/>
      <c r="D116" s="269"/>
      <c r="E116" s="269"/>
      <c r="F116" s="270">
        <f>F105</f>
        <v>0</v>
      </c>
      <c r="G116" s="270">
        <f>G105</f>
        <v>0</v>
      </c>
      <c r="H116" s="270">
        <f>H105</f>
        <v>63.599999999999994</v>
      </c>
      <c r="I116" s="270">
        <f>I108+I115</f>
        <v>18621.394658666668</v>
      </c>
      <c r="J116" s="53"/>
    </row>
  </sheetData>
  <sheetProtection password="ECAF" sheet="1" selectLockedCells="1"/>
  <mergeCells count="1">
    <mergeCell ref="A1:J1"/>
  </mergeCells>
  <printOptions/>
  <pageMargins left="1" right="0"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rgb="FF7030A0"/>
  </sheetPr>
  <dimension ref="A1:P32"/>
  <sheetViews>
    <sheetView showGridLines="0" workbookViewId="0" topLeftCell="A1">
      <selection activeCell="A1" sqref="A1:J33"/>
    </sheetView>
  </sheetViews>
  <sheetFormatPr defaultColWidth="8.8515625" defaultRowHeight="12.75"/>
  <cols>
    <col min="1" max="1" width="19.00390625" style="0" customWidth="1"/>
    <col min="2" max="2" width="17.7109375" style="0" customWidth="1"/>
    <col min="3" max="3" width="13.421875" style="0" customWidth="1"/>
    <col min="4" max="4" width="15.28125" style="0" customWidth="1"/>
    <col min="5" max="5" width="17.421875" style="0" customWidth="1"/>
    <col min="6" max="6" width="11.00390625" style="0" customWidth="1"/>
    <col min="7" max="7" width="2.7109375" style="0" customWidth="1"/>
    <col min="8" max="8" width="17.00390625" style="0" customWidth="1"/>
    <col min="9" max="9" width="14.421875" style="0" customWidth="1"/>
    <col min="10" max="10" width="12.7109375" style="0" customWidth="1"/>
  </cols>
  <sheetData>
    <row r="1" spans="1:9" ht="15">
      <c r="A1" s="278" t="s">
        <v>333</v>
      </c>
      <c r="G1" s="2"/>
      <c r="H1" s="26" t="s">
        <v>64</v>
      </c>
      <c r="I1" s="1"/>
    </row>
    <row r="2" spans="1:10" ht="15">
      <c r="A2" s="62" t="s">
        <v>3</v>
      </c>
      <c r="B2" s="122" t="s">
        <v>36</v>
      </c>
      <c r="C2" s="122" t="s">
        <v>40</v>
      </c>
      <c r="D2" s="122" t="s">
        <v>38</v>
      </c>
      <c r="E2" s="122" t="s">
        <v>39</v>
      </c>
      <c r="F2" s="122" t="s">
        <v>120</v>
      </c>
      <c r="G2" s="34"/>
      <c r="H2" s="62" t="s">
        <v>3</v>
      </c>
      <c r="I2" s="122" t="s">
        <v>38</v>
      </c>
      <c r="J2" s="122" t="s">
        <v>120</v>
      </c>
    </row>
    <row r="3" spans="1:10" ht="15">
      <c r="A3" s="62" t="s">
        <v>2</v>
      </c>
      <c r="B3" s="122" t="s">
        <v>62</v>
      </c>
      <c r="C3" s="122" t="s">
        <v>62</v>
      </c>
      <c r="D3" s="122" t="s">
        <v>62</v>
      </c>
      <c r="E3" s="122" t="s">
        <v>62</v>
      </c>
      <c r="F3" s="122" t="s">
        <v>39</v>
      </c>
      <c r="G3" s="35"/>
      <c r="H3" s="62" t="s">
        <v>2</v>
      </c>
      <c r="I3" s="122" t="s">
        <v>65</v>
      </c>
      <c r="J3" s="122" t="s">
        <v>39</v>
      </c>
    </row>
    <row r="4" spans="1:10" ht="15">
      <c r="A4" s="120"/>
      <c r="B4" s="121"/>
      <c r="C4" s="121"/>
      <c r="D4" s="121"/>
      <c r="E4" s="121"/>
      <c r="F4" s="121"/>
      <c r="G4" s="34"/>
      <c r="H4" s="120"/>
      <c r="I4" s="121"/>
      <c r="J4" s="121"/>
    </row>
    <row r="5" spans="1:10" ht="15">
      <c r="A5" s="239" t="s">
        <v>30</v>
      </c>
      <c r="B5" s="27">
        <f>ProductionSequence!H14</f>
        <v>146.03852</v>
      </c>
      <c r="C5" s="27">
        <f>ProductionSequence!L14</f>
        <v>73.4</v>
      </c>
      <c r="D5" s="27">
        <f>ProductionSequence!O14</f>
        <v>292.56000000000006</v>
      </c>
      <c r="E5" s="35">
        <f>SUM(B5:D5)</f>
        <v>511.9985200000001</v>
      </c>
      <c r="F5" s="138">
        <f>E5/E$18</f>
        <v>0.0274951758117488</v>
      </c>
      <c r="G5" s="34"/>
      <c r="H5" s="239" t="s">
        <v>30</v>
      </c>
      <c r="I5" s="27">
        <f>ProductionSequence!M14</f>
        <v>27.6</v>
      </c>
      <c r="J5" s="139">
        <f>I5/I$17</f>
        <v>0.012560069899519442</v>
      </c>
    </row>
    <row r="6" spans="1:10" ht="15">
      <c r="A6" s="239" t="s">
        <v>32</v>
      </c>
      <c r="B6" s="27">
        <v>0</v>
      </c>
      <c r="C6" s="27">
        <v>0</v>
      </c>
      <c r="D6" s="27">
        <v>0</v>
      </c>
      <c r="E6" s="35">
        <f>SUM(B6:D6)</f>
        <v>0</v>
      </c>
      <c r="F6" s="138">
        <f aca="true" t="shared" si="0" ref="F6:F17">E6/E$18</f>
        <v>0</v>
      </c>
      <c r="G6" s="34"/>
      <c r="H6" s="239" t="s">
        <v>32</v>
      </c>
      <c r="I6" s="27">
        <v>0</v>
      </c>
      <c r="J6" s="139">
        <f aca="true" t="shared" si="1" ref="J6:J17">I6/I$17</f>
        <v>0</v>
      </c>
    </row>
    <row r="7" spans="1:10" ht="15">
      <c r="A7" s="239" t="s">
        <v>33</v>
      </c>
      <c r="B7" s="27">
        <f>ProductionSequence!H21</f>
        <v>40.01148666666667</v>
      </c>
      <c r="C7" s="27">
        <f>ProductionSequence!L21</f>
        <v>0</v>
      </c>
      <c r="D7" s="27">
        <f>ProductionSequence!O21</f>
        <v>31.799999999999997</v>
      </c>
      <c r="E7" s="35">
        <f aca="true" t="shared" si="2" ref="E7:E16">SUM(B7:D7)</f>
        <v>71.81148666666667</v>
      </c>
      <c r="F7" s="138">
        <f t="shared" si="0"/>
        <v>0.003856396794277949</v>
      </c>
      <c r="G7" s="34"/>
      <c r="H7" s="239" t="s">
        <v>33</v>
      </c>
      <c r="I7" s="27">
        <f>ProductionSequence!M21</f>
        <v>3</v>
      </c>
      <c r="J7" s="139">
        <f t="shared" si="1"/>
        <v>0.0013652249890782002</v>
      </c>
    </row>
    <row r="8" spans="1:10" ht="15">
      <c r="A8" s="239" t="s">
        <v>34</v>
      </c>
      <c r="B8" s="27">
        <f>ProductionSequence!H40</f>
        <v>558.22534</v>
      </c>
      <c r="C8" s="27">
        <f>ProductionSequence!L40</f>
        <v>4817.43</v>
      </c>
      <c r="D8" s="27">
        <f>ProductionSequence!O40</f>
        <v>668.72</v>
      </c>
      <c r="E8" s="35">
        <f t="shared" si="2"/>
        <v>6044.3753400000005</v>
      </c>
      <c r="F8" s="138">
        <f t="shared" si="0"/>
        <v>0.32459305281878337</v>
      </c>
      <c r="G8" s="34"/>
      <c r="H8" s="239" t="s">
        <v>34</v>
      </c>
      <c r="I8" s="27">
        <f>ProductionSequence!M40</f>
        <v>61.89999999999999</v>
      </c>
      <c r="J8" s="139">
        <f t="shared" si="1"/>
        <v>0.02816914227464686</v>
      </c>
    </row>
    <row r="9" spans="1:10" ht="15">
      <c r="A9" s="239" t="s">
        <v>16</v>
      </c>
      <c r="B9" s="27">
        <f>ProductionSequence!H48</f>
        <v>57.52208066666667</v>
      </c>
      <c r="C9" s="27">
        <f>ProductionSequence!L48</f>
        <v>211.3</v>
      </c>
      <c r="D9" s="27">
        <f>ProductionSequence!O48</f>
        <v>64.968</v>
      </c>
      <c r="E9" s="35">
        <f t="shared" si="2"/>
        <v>333.7900806666667</v>
      </c>
      <c r="F9" s="138">
        <f t="shared" si="0"/>
        <v>0.01792508492436231</v>
      </c>
      <c r="G9" s="34"/>
      <c r="H9" s="239" t="s">
        <v>16</v>
      </c>
      <c r="I9" s="27">
        <f>ProductionSequence!M48</f>
        <v>5.680000000000001</v>
      </c>
      <c r="J9" s="139">
        <f t="shared" si="1"/>
        <v>0.0025848259793213924</v>
      </c>
    </row>
    <row r="10" spans="1:16" ht="15">
      <c r="A10" s="239" t="s">
        <v>0</v>
      </c>
      <c r="B10" s="27">
        <f>ProductionSequence!H54</f>
        <v>13.427414</v>
      </c>
      <c r="C10" s="27">
        <f>ProductionSequence!L54</f>
        <v>145.45</v>
      </c>
      <c r="D10" s="27">
        <f>ProductionSequence!O54</f>
        <v>8.268</v>
      </c>
      <c r="E10" s="35">
        <f t="shared" si="2"/>
        <v>167.145414</v>
      </c>
      <c r="F10" s="138">
        <f t="shared" si="0"/>
        <v>0.008975987946327537</v>
      </c>
      <c r="G10" s="34"/>
      <c r="H10" s="239" t="s">
        <v>0</v>
      </c>
      <c r="I10" s="27">
        <f>ProductionSequence!M54</f>
        <v>0.78</v>
      </c>
      <c r="J10" s="139">
        <f t="shared" si="1"/>
        <v>0.00035495849716033205</v>
      </c>
      <c r="P10" s="12"/>
    </row>
    <row r="11" spans="1:16" ht="15">
      <c r="A11" s="239" t="s">
        <v>1</v>
      </c>
      <c r="B11" s="27">
        <f>ProductionSequence!H63</f>
        <v>14.280344000000001</v>
      </c>
      <c r="C11" s="27">
        <f>ProductionSequence!L63</f>
        <v>1333.6000000000001</v>
      </c>
      <c r="D11" s="27">
        <f>ProductionSequence!O63</f>
        <v>326.268</v>
      </c>
      <c r="E11" s="35">
        <f t="shared" si="2"/>
        <v>1674.1483440000002</v>
      </c>
      <c r="F11" s="138">
        <f t="shared" si="0"/>
        <v>0.08990456271871276</v>
      </c>
      <c r="G11" s="34"/>
      <c r="H11" s="239" t="s">
        <v>1</v>
      </c>
      <c r="I11" s="27">
        <f>ProductionSequence!M63</f>
        <v>30.78</v>
      </c>
      <c r="J11" s="139">
        <f t="shared" si="1"/>
        <v>0.014007208387942333</v>
      </c>
      <c r="P11" s="12"/>
    </row>
    <row r="12" spans="1:10" ht="15">
      <c r="A12" s="239" t="s">
        <v>28</v>
      </c>
      <c r="B12" s="27">
        <f>ProductionSequence!H67</f>
        <v>0</v>
      </c>
      <c r="C12" s="27">
        <f>ProductionSequence!L67</f>
        <v>0</v>
      </c>
      <c r="D12" s="27">
        <f>ProductionSequence!O67</f>
        <v>487.6</v>
      </c>
      <c r="E12" s="35">
        <f t="shared" si="2"/>
        <v>487.6</v>
      </c>
      <c r="F12" s="138">
        <f t="shared" si="0"/>
        <v>0.026184934530296522</v>
      </c>
      <c r="G12" s="34"/>
      <c r="H12" s="239" t="s">
        <v>28</v>
      </c>
      <c r="I12" s="27">
        <f>ProductionSequence!M67</f>
        <v>46</v>
      </c>
      <c r="J12" s="139">
        <f t="shared" si="1"/>
        <v>0.0209334498325324</v>
      </c>
    </row>
    <row r="13" spans="1:10" ht="15">
      <c r="A13" s="239" t="s">
        <v>27</v>
      </c>
      <c r="B13" s="27">
        <f>ProductionSequence!H89</f>
        <v>42.124428</v>
      </c>
      <c r="C13" s="27">
        <f>ProductionSequence!L89</f>
        <v>401.09000000000003</v>
      </c>
      <c r="D13" s="27">
        <f>ProductionSequence!O89</f>
        <v>429.336</v>
      </c>
      <c r="E13" s="35">
        <f t="shared" si="2"/>
        <v>872.550428</v>
      </c>
      <c r="F13" s="138">
        <f t="shared" si="0"/>
        <v>0.046857415569241605</v>
      </c>
      <c r="G13" s="34"/>
      <c r="H13" s="239" t="s">
        <v>27</v>
      </c>
      <c r="I13" s="27">
        <f>ProductionSequence!M89</f>
        <v>39.06</v>
      </c>
      <c r="J13" s="139">
        <f t="shared" si="1"/>
        <v>0.017775229357798166</v>
      </c>
    </row>
    <row r="14" spans="1:10" ht="15">
      <c r="A14" s="239" t="s">
        <v>29</v>
      </c>
      <c r="B14" s="27">
        <f>ProductionSequence!H123</f>
        <v>359.940642</v>
      </c>
      <c r="C14" s="27">
        <f>ProductionSequence!L123</f>
        <v>493.6643999999999</v>
      </c>
      <c r="D14" s="27">
        <f>ProductionSequence!O123</f>
        <v>619.8040000000001</v>
      </c>
      <c r="E14" s="35">
        <f t="shared" si="2"/>
        <v>1473.409042</v>
      </c>
      <c r="F14" s="138">
        <f t="shared" si="0"/>
        <v>0.07912452686857448</v>
      </c>
      <c r="G14" s="34"/>
      <c r="H14" s="239" t="s">
        <v>29</v>
      </c>
      <c r="I14" s="27">
        <f>ProductionSequence!M123</f>
        <v>53.34</v>
      </c>
      <c r="J14" s="139">
        <f t="shared" si="1"/>
        <v>0.0242737003058104</v>
      </c>
    </row>
    <row r="15" spans="1:10" ht="15">
      <c r="A15" s="239" t="s">
        <v>25</v>
      </c>
      <c r="B15" s="27">
        <f>ProductionSequence!H155</f>
        <v>296.77917533333334</v>
      </c>
      <c r="C15" s="27">
        <f>ProductionSequence!L155</f>
        <v>950.7641999999994</v>
      </c>
      <c r="D15" s="27">
        <f>ProductionSequence!O155</f>
        <v>1001.204</v>
      </c>
      <c r="E15" s="35">
        <f t="shared" si="2"/>
        <v>2248.7473753333325</v>
      </c>
      <c r="F15" s="138">
        <f t="shared" si="0"/>
        <v>0.12076149056250911</v>
      </c>
      <c r="G15" s="34"/>
      <c r="H15" s="239" t="s">
        <v>25</v>
      </c>
      <c r="I15" s="27">
        <f>ProductionSequence!M155</f>
        <v>492.03999999999996</v>
      </c>
      <c r="J15" s="139">
        <f t="shared" si="1"/>
        <v>0.22391510120867916</v>
      </c>
    </row>
    <row r="16" spans="1:10" ht="15">
      <c r="A16" s="239" t="s">
        <v>17</v>
      </c>
      <c r="B16" s="27">
        <f>ProductionSequence!H182</f>
        <v>143.869228</v>
      </c>
      <c r="C16" s="27">
        <f>ProductionSequence!L182</f>
        <v>1962.6134000000002</v>
      </c>
      <c r="D16" s="27">
        <f>ProductionSequence!O182</f>
        <v>2488.336</v>
      </c>
      <c r="E16" s="35">
        <f t="shared" si="2"/>
        <v>4594.818628</v>
      </c>
      <c r="F16" s="138">
        <f t="shared" si="0"/>
        <v>0.24674943591625692</v>
      </c>
      <c r="G16" s="34"/>
      <c r="H16" s="239" t="s">
        <v>17</v>
      </c>
      <c r="I16" s="27">
        <f>ProductionSequence!M182</f>
        <v>1437.26</v>
      </c>
      <c r="J16" s="139">
        <f t="shared" si="1"/>
        <v>0.6540610892675113</v>
      </c>
    </row>
    <row r="17" spans="1:10" ht="15">
      <c r="A17" s="121" t="s">
        <v>63</v>
      </c>
      <c r="B17" s="27">
        <f>ProductionSequence!H190</f>
        <v>0</v>
      </c>
      <c r="C17" s="27">
        <v>0</v>
      </c>
      <c r="D17" s="27">
        <f>ProductionSequence!O190</f>
        <v>0</v>
      </c>
      <c r="E17" s="304">
        <f>ProductionSequence!P190</f>
        <v>141</v>
      </c>
      <c r="F17" s="138">
        <f t="shared" si="0"/>
        <v>0.007571935538908551</v>
      </c>
      <c r="G17" s="34"/>
      <c r="H17" s="62" t="s">
        <v>232</v>
      </c>
      <c r="I17" s="241">
        <f>SUM(I5:I16)</f>
        <v>2197.44</v>
      </c>
      <c r="J17" s="242">
        <f t="shared" si="1"/>
        <v>1</v>
      </c>
    </row>
    <row r="18" spans="1:10" ht="15">
      <c r="A18" s="153" t="s">
        <v>119</v>
      </c>
      <c r="B18" s="154">
        <f>SUM(B5:B17)</f>
        <v>1672.2186586666664</v>
      </c>
      <c r="C18" s="154">
        <f>SUM(C5:C17)</f>
        <v>10389.312</v>
      </c>
      <c r="D18" s="154">
        <f>SUM(D5:D17)</f>
        <v>6418.864</v>
      </c>
      <c r="E18" s="154">
        <f>SUM(E5:E17)</f>
        <v>18621.394658666668</v>
      </c>
      <c r="F18" s="155">
        <f>SUM(F5:F17)</f>
        <v>0.9999999999999998</v>
      </c>
      <c r="G18" s="36"/>
      <c r="H18" s="146"/>
      <c r="I18" s="147"/>
      <c r="J18" s="147"/>
    </row>
    <row r="19" spans="1:10" ht="15">
      <c r="A19" s="305"/>
      <c r="B19" s="306"/>
      <c r="C19" s="306"/>
      <c r="D19" s="306"/>
      <c r="E19" s="306"/>
      <c r="F19" s="307"/>
      <c r="G19" s="36"/>
      <c r="H19" s="146"/>
      <c r="I19" s="147"/>
      <c r="J19" s="147"/>
    </row>
    <row r="21" spans="1:9" ht="15">
      <c r="A21" s="377" t="s">
        <v>334</v>
      </c>
      <c r="B21" s="377"/>
      <c r="C21" s="377"/>
      <c r="D21" s="377"/>
      <c r="E21" s="377"/>
      <c r="H21" s="26" t="s">
        <v>336</v>
      </c>
      <c r="I21" s="1"/>
    </row>
    <row r="22" spans="1:10" ht="15">
      <c r="A22" s="62" t="s">
        <v>335</v>
      </c>
      <c r="B22" s="122" t="s">
        <v>36</v>
      </c>
      <c r="C22" s="122" t="s">
        <v>40</v>
      </c>
      <c r="D22" s="122" t="s">
        <v>38</v>
      </c>
      <c r="E22" s="122" t="s">
        <v>39</v>
      </c>
      <c r="F22" s="122" t="s">
        <v>120</v>
      </c>
      <c r="H22" s="62" t="s">
        <v>3</v>
      </c>
      <c r="I22" s="122" t="s">
        <v>38</v>
      </c>
      <c r="J22" s="122" t="s">
        <v>120</v>
      </c>
    </row>
    <row r="23" spans="1:10" ht="15">
      <c r="A23" s="62" t="s">
        <v>2</v>
      </c>
      <c r="B23" s="122" t="s">
        <v>62</v>
      </c>
      <c r="C23" s="122" t="s">
        <v>62</v>
      </c>
      <c r="D23" s="122" t="s">
        <v>62</v>
      </c>
      <c r="E23" s="122" t="s">
        <v>62</v>
      </c>
      <c r="F23" s="122" t="s">
        <v>39</v>
      </c>
      <c r="H23" s="62" t="s">
        <v>2</v>
      </c>
      <c r="I23" s="122" t="s">
        <v>65</v>
      </c>
      <c r="J23" s="122" t="s">
        <v>39</v>
      </c>
    </row>
    <row r="24" spans="1:10" ht="15">
      <c r="A24" s="120"/>
      <c r="B24" s="121"/>
      <c r="C24" s="121"/>
      <c r="D24" s="121"/>
      <c r="E24" s="121"/>
      <c r="F24" s="121"/>
      <c r="H24" s="120"/>
      <c r="I24" s="121"/>
      <c r="J24" s="121"/>
    </row>
    <row r="25" spans="1:10" ht="15">
      <c r="A25" s="239" t="s">
        <v>337</v>
      </c>
      <c r="B25" s="27">
        <f>ProductionSequence!H15</f>
        <v>146.03852</v>
      </c>
      <c r="C25" s="27">
        <f>ProductionSequence!L15</f>
        <v>73.4</v>
      </c>
      <c r="D25" s="27">
        <f>ProductionSequence!O15</f>
        <v>292.56000000000006</v>
      </c>
      <c r="E25" s="35">
        <f aca="true" t="shared" si="3" ref="E25:E30">SUM(B25:D25)</f>
        <v>511.9985200000001</v>
      </c>
      <c r="F25" s="138">
        <f aca="true" t="shared" si="4" ref="F25:F31">E25/E$18</f>
        <v>0.0274951758117488</v>
      </c>
      <c r="H25" s="239" t="s">
        <v>337</v>
      </c>
      <c r="I25" s="27">
        <f>ProductionSequence!M15</f>
        <v>27.6</v>
      </c>
      <c r="J25" s="139">
        <f>I25/I$17</f>
        <v>0.012560069899519442</v>
      </c>
    </row>
    <row r="26" spans="1:10" ht="15">
      <c r="A26" s="239" t="s">
        <v>338</v>
      </c>
      <c r="B26" s="27">
        <f>ProductionSequence!H35</f>
        <v>273.55642666666665</v>
      </c>
      <c r="C26" s="27">
        <f>ProductionSequence!L35</f>
        <v>1367.43</v>
      </c>
      <c r="D26" s="27">
        <f>ProductionSequence!O35</f>
        <v>268.03999999999996</v>
      </c>
      <c r="E26" s="35">
        <f t="shared" si="3"/>
        <v>1909.0264266666668</v>
      </c>
      <c r="F26" s="138">
        <f t="shared" si="4"/>
        <v>0.1025179081190988</v>
      </c>
      <c r="H26" s="239" t="s">
        <v>338</v>
      </c>
      <c r="I26" s="27">
        <f>ProductionSequence!M35</f>
        <v>24.099999999999994</v>
      </c>
      <c r="J26" s="139">
        <f aca="true" t="shared" si="5" ref="J26:J31">I26/I$17</f>
        <v>0.010967307412261538</v>
      </c>
    </row>
    <row r="27" spans="1:10" ht="15">
      <c r="A27" s="239" t="s">
        <v>339</v>
      </c>
      <c r="B27" s="27">
        <f>ProductionSequence!H55</f>
        <v>395.62989466666676</v>
      </c>
      <c r="C27" s="27">
        <f>ProductionSequence!L55</f>
        <v>3806.75</v>
      </c>
      <c r="D27" s="27">
        <f>ProductionSequence!O55</f>
        <v>505.71600000000024</v>
      </c>
      <c r="E27" s="35">
        <f t="shared" si="3"/>
        <v>4708.095894666667</v>
      </c>
      <c r="F27" s="138">
        <f t="shared" si="4"/>
        <v>0.2528326143646524</v>
      </c>
      <c r="H27" s="239" t="s">
        <v>339</v>
      </c>
      <c r="I27" s="27">
        <f>ProductionSequence!M55</f>
        <v>47.26000000000001</v>
      </c>
      <c r="J27" s="139">
        <f t="shared" si="5"/>
        <v>0.02150684432794525</v>
      </c>
    </row>
    <row r="28" spans="1:10" ht="15">
      <c r="A28" s="239" t="s">
        <v>340</v>
      </c>
      <c r="B28" s="27">
        <f>ProductionSequence!H71</f>
        <v>14.280344000000001</v>
      </c>
      <c r="C28" s="27">
        <f>ProductionSequence!L71</f>
        <v>1333.6000000000001</v>
      </c>
      <c r="D28" s="27">
        <f>ProductionSequence!O71</f>
        <v>891.4679999999997</v>
      </c>
      <c r="E28" s="35">
        <f t="shared" si="3"/>
        <v>2239.348344</v>
      </c>
      <c r="F28" s="138">
        <f t="shared" si="4"/>
        <v>0.12025674687893341</v>
      </c>
      <c r="H28" s="239" t="s">
        <v>340</v>
      </c>
      <c r="I28" s="27">
        <f>ProductionSequence!M71</f>
        <v>83.78</v>
      </c>
      <c r="J28" s="139">
        <f t="shared" si="5"/>
        <v>0.03812618319499053</v>
      </c>
    </row>
    <row r="29" spans="1:10" ht="15">
      <c r="A29" s="239" t="s">
        <v>341</v>
      </c>
      <c r="B29" s="27">
        <f>ProductionSequence!H140</f>
        <v>655.7346980000003</v>
      </c>
      <c r="C29" s="27">
        <f>ProductionSequence!L140</f>
        <v>1159.7932000000003</v>
      </c>
      <c r="D29" s="27">
        <f>ProductionSequence!O140</f>
        <v>1133.376</v>
      </c>
      <c r="E29" s="35">
        <f t="shared" si="3"/>
        <v>2948.9038980000005</v>
      </c>
      <c r="F29" s="138">
        <f t="shared" si="4"/>
        <v>0.15836106543327771</v>
      </c>
      <c r="H29" s="239" t="s">
        <v>341</v>
      </c>
      <c r="I29" s="27">
        <f>ProductionSequence!M140</f>
        <v>97.46000000000001</v>
      </c>
      <c r="J29" s="139">
        <f t="shared" si="5"/>
        <v>0.044351609145187126</v>
      </c>
    </row>
    <row r="30" spans="1:10" ht="15">
      <c r="A30" s="239" t="s">
        <v>342</v>
      </c>
      <c r="B30" s="27">
        <f>ProductionSequence!H183</f>
        <v>186.97877533333337</v>
      </c>
      <c r="C30" s="27">
        <f>ProductionSequence!L183</f>
        <v>2648.3387999999995</v>
      </c>
      <c r="D30" s="27">
        <f>ProductionSequence!O183</f>
        <v>3327.7039999999997</v>
      </c>
      <c r="E30" s="35">
        <f t="shared" si="3"/>
        <v>6163.021575333332</v>
      </c>
      <c r="F30" s="138">
        <f t="shared" si="4"/>
        <v>0.3309645538533803</v>
      </c>
      <c r="H30" s="239" t="s">
        <v>342</v>
      </c>
      <c r="I30" s="27">
        <f>ProductionSequence!M183</f>
        <v>1917.2400000000007</v>
      </c>
      <c r="J30" s="139">
        <f t="shared" si="5"/>
        <v>0.8724879860200964</v>
      </c>
    </row>
    <row r="31" spans="1:10" ht="15">
      <c r="A31" s="121" t="s">
        <v>63</v>
      </c>
      <c r="B31" s="27">
        <f>ProductionSequence!H209</f>
        <v>0</v>
      </c>
      <c r="C31" s="27">
        <f>ProductionSequence!L209</f>
        <v>0</v>
      </c>
      <c r="D31" s="27">
        <f>ProductionSequence!O209</f>
        <v>0</v>
      </c>
      <c r="E31" s="304">
        <f>ProductionSequence!P190</f>
        <v>141</v>
      </c>
      <c r="F31" s="138">
        <f t="shared" si="4"/>
        <v>0.007571935538908551</v>
      </c>
      <c r="H31" s="62" t="s">
        <v>232</v>
      </c>
      <c r="I31" s="241">
        <f>SUM(I25:I30)</f>
        <v>2197.4400000000005</v>
      </c>
      <c r="J31" s="242">
        <f t="shared" si="5"/>
        <v>1.0000000000000002</v>
      </c>
    </row>
    <row r="32" spans="1:6" ht="15">
      <c r="A32" s="153" t="s">
        <v>119</v>
      </c>
      <c r="B32" s="154">
        <f>SUM(B25:B31)</f>
        <v>1672.2186586666671</v>
      </c>
      <c r="C32" s="154">
        <f>SUM(C25:C31)</f>
        <v>10389.312</v>
      </c>
      <c r="D32" s="154">
        <f>SUM(D25:D31)</f>
        <v>6418.864</v>
      </c>
      <c r="E32" s="154">
        <f>SUM(E25:E31)</f>
        <v>18621.394658666664</v>
      </c>
      <c r="F32" s="155">
        <f>SUM(F25:F31)</f>
        <v>1</v>
      </c>
    </row>
  </sheetData>
  <sheetProtection password="ECAF" sheet="1" selectLockedCells="1"/>
  <mergeCells count="1">
    <mergeCell ref="A21:E21"/>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7030A0"/>
  </sheetPr>
  <dimension ref="A1:S31"/>
  <sheetViews>
    <sheetView workbookViewId="0" topLeftCell="A1">
      <selection activeCell="A1" sqref="A1:E22"/>
    </sheetView>
  </sheetViews>
  <sheetFormatPr defaultColWidth="8.8515625" defaultRowHeight="12.75"/>
  <cols>
    <col min="1" max="1" width="12.421875" style="0" customWidth="1"/>
    <col min="2" max="2" width="12.00390625" style="0" customWidth="1"/>
    <col min="3" max="3" width="10.28125" style="0" customWidth="1"/>
    <col min="4" max="4" width="13.421875" style="0" customWidth="1"/>
    <col min="5" max="5" width="10.421875" style="0" customWidth="1"/>
    <col min="6" max="6" width="12.140625" style="0" customWidth="1"/>
    <col min="7" max="7" width="10.421875" style="0" customWidth="1"/>
    <col min="8" max="8" width="11.140625" style="0" customWidth="1"/>
    <col min="9" max="9" width="12.00390625" style="0" customWidth="1"/>
    <col min="10" max="10" width="11.00390625" style="0" customWidth="1"/>
  </cols>
  <sheetData>
    <row r="1" spans="1:9" ht="15">
      <c r="A1" s="278" t="s">
        <v>358</v>
      </c>
      <c r="B1" s="43"/>
      <c r="C1" s="43"/>
      <c r="D1" s="43"/>
      <c r="E1" s="43"/>
      <c r="F1" s="43"/>
      <c r="G1" s="43"/>
      <c r="H1" s="43"/>
      <c r="I1" s="43"/>
    </row>
    <row r="2" spans="2:9" ht="12">
      <c r="B2" s="43"/>
      <c r="C2" s="43"/>
      <c r="D2" s="43"/>
      <c r="E2" s="43"/>
      <c r="F2" s="43"/>
      <c r="G2" s="43"/>
      <c r="H2" s="43"/>
      <c r="I2" s="43"/>
    </row>
    <row r="3" spans="1:9" ht="12">
      <c r="A3" s="279" t="s">
        <v>325</v>
      </c>
      <c r="B3" s="292"/>
      <c r="C3" s="292"/>
      <c r="D3" s="293">
        <f>Assumptions!G8</f>
        <v>18000</v>
      </c>
      <c r="E3" s="280" t="s">
        <v>326</v>
      </c>
      <c r="F3" s="259"/>
      <c r="G3" s="43"/>
      <c r="H3" s="43"/>
      <c r="I3" s="43"/>
    </row>
    <row r="4" spans="1:9" ht="12">
      <c r="A4" s="279"/>
      <c r="B4" s="292"/>
      <c r="C4" s="292"/>
      <c r="D4" s="293"/>
      <c r="E4" s="280"/>
      <c r="F4" s="259"/>
      <c r="G4" s="43"/>
      <c r="H4" s="43"/>
      <c r="I4" s="43"/>
    </row>
    <row r="5" spans="1:9" ht="12">
      <c r="A5" s="222"/>
      <c r="B5" s="289" t="s">
        <v>323</v>
      </c>
      <c r="C5" s="294">
        <f>Assumptions!G18</f>
        <v>0.4</v>
      </c>
      <c r="D5" s="295">
        <f>Assumptions!H18</f>
        <v>7200</v>
      </c>
      <c r="E5" s="289" t="s">
        <v>326</v>
      </c>
      <c r="F5" s="259"/>
      <c r="G5" s="43"/>
      <c r="H5" s="43"/>
      <c r="I5" s="43"/>
    </row>
    <row r="6" spans="1:10" ht="12">
      <c r="A6" s="212"/>
      <c r="B6" s="287" t="s">
        <v>324</v>
      </c>
      <c r="C6" s="296">
        <f>Assumptions!G22</f>
        <v>0.6</v>
      </c>
      <c r="D6" s="295">
        <f>Assumptions!H22</f>
        <v>10800</v>
      </c>
      <c r="E6" s="289" t="s">
        <v>326</v>
      </c>
      <c r="F6" s="47"/>
      <c r="G6" s="56"/>
      <c r="H6" s="56"/>
      <c r="I6" s="56"/>
      <c r="J6" s="56"/>
    </row>
    <row r="7" spans="1:11" ht="12">
      <c r="A7" s="212"/>
      <c r="B7" s="287"/>
      <c r="C7" s="287"/>
      <c r="D7" s="287"/>
      <c r="E7" s="287"/>
      <c r="F7" s="47"/>
      <c r="G7" s="56"/>
      <c r="H7" s="56"/>
      <c r="I7" s="56"/>
      <c r="J7" s="56"/>
      <c r="K7" s="56"/>
    </row>
    <row r="8" spans="1:11" ht="12">
      <c r="A8" s="271" t="s">
        <v>327</v>
      </c>
      <c r="B8" s="285"/>
      <c r="C8" s="285"/>
      <c r="D8" s="272"/>
      <c r="E8" s="272"/>
      <c r="F8" s="56"/>
      <c r="G8" s="56"/>
      <c r="H8" s="56"/>
      <c r="I8" s="56"/>
      <c r="J8" s="56"/>
      <c r="K8" s="56"/>
    </row>
    <row r="9" spans="1:10" ht="12">
      <c r="A9" s="272"/>
      <c r="B9" s="290" t="s">
        <v>323</v>
      </c>
      <c r="C9" s="285"/>
      <c r="D9" s="291">
        <f>Assumptions!G20</f>
        <v>1.6666666666666667</v>
      </c>
      <c r="E9" s="290" t="s">
        <v>75</v>
      </c>
      <c r="F9" s="56"/>
      <c r="G9" s="56"/>
      <c r="H9" s="56"/>
      <c r="I9" s="56"/>
      <c r="J9" s="56"/>
    </row>
    <row r="10" spans="1:10" ht="12">
      <c r="A10" s="272"/>
      <c r="B10" s="285" t="s">
        <v>324</v>
      </c>
      <c r="C10" s="285"/>
      <c r="D10" s="291">
        <f>Assumptions!G24</f>
        <v>2</v>
      </c>
      <c r="E10" s="290" t="s">
        <v>75</v>
      </c>
      <c r="F10" s="56"/>
      <c r="G10" s="56"/>
      <c r="H10" s="56"/>
      <c r="I10" s="56"/>
      <c r="J10" s="56"/>
    </row>
    <row r="11" spans="1:10" ht="12">
      <c r="A11" s="272"/>
      <c r="B11" s="285"/>
      <c r="C11" s="285"/>
      <c r="D11" s="272"/>
      <c r="E11" s="272"/>
      <c r="F11" s="56"/>
      <c r="G11" s="56"/>
      <c r="H11" s="56"/>
      <c r="I11" s="56"/>
      <c r="J11" s="56"/>
    </row>
    <row r="12" spans="1:10" ht="12">
      <c r="A12" s="286" t="s">
        <v>328</v>
      </c>
      <c r="B12" s="287"/>
      <c r="C12" s="287"/>
      <c r="D12" s="288">
        <f>(D9*D5)+(D10*D6)</f>
        <v>33600</v>
      </c>
      <c r="E12" s="280" t="s">
        <v>329</v>
      </c>
      <c r="F12" s="56"/>
      <c r="G12" s="56"/>
      <c r="H12" s="56"/>
      <c r="I12" s="56"/>
      <c r="J12" s="56"/>
    </row>
    <row r="13" spans="1:10" ht="12">
      <c r="A13" s="212"/>
      <c r="B13" s="287"/>
      <c r="C13" s="287"/>
      <c r="D13" s="212"/>
      <c r="E13" s="212"/>
      <c r="F13" s="56"/>
      <c r="G13" s="56"/>
      <c r="H13" s="56"/>
      <c r="I13" s="56"/>
      <c r="J13" s="56"/>
    </row>
    <row r="14" spans="1:18" ht="12">
      <c r="A14" s="281" t="s">
        <v>330</v>
      </c>
      <c r="B14" s="225"/>
      <c r="C14" s="225"/>
      <c r="D14" s="282">
        <f>ProductionSequence!P192</f>
        <v>18621.394658666668</v>
      </c>
      <c r="E14" s="283" t="s">
        <v>329</v>
      </c>
      <c r="M14" s="118"/>
      <c r="N14" s="141"/>
      <c r="O14" s="141"/>
      <c r="P14" s="118"/>
      <c r="Q14" s="142"/>
      <c r="R14" s="118"/>
    </row>
    <row r="15" spans="1:18" ht="12">
      <c r="A15" s="281"/>
      <c r="B15" s="225"/>
      <c r="C15" s="225"/>
      <c r="D15" s="282"/>
      <c r="E15" s="283"/>
      <c r="M15" s="118"/>
      <c r="N15" s="141"/>
      <c r="O15" s="141"/>
      <c r="P15" s="118"/>
      <c r="Q15" s="142"/>
      <c r="R15" s="118"/>
    </row>
    <row r="16" spans="1:18" ht="12">
      <c r="A16" s="225"/>
      <c r="B16" s="58" t="s">
        <v>36</v>
      </c>
      <c r="C16" s="225"/>
      <c r="D16" s="284">
        <f>ProductionSequence!H184</f>
        <v>1672.2186586666671</v>
      </c>
      <c r="E16" s="58" t="s">
        <v>329</v>
      </c>
      <c r="M16" s="118"/>
      <c r="N16" s="141"/>
      <c r="O16" s="141"/>
      <c r="P16" s="118"/>
      <c r="Q16" s="142"/>
      <c r="R16" s="118"/>
    </row>
    <row r="17" spans="1:18" ht="12">
      <c r="A17" s="225"/>
      <c r="B17" s="58" t="s">
        <v>37</v>
      </c>
      <c r="C17" s="225"/>
      <c r="D17" s="284">
        <f>ProductionSequence!L184</f>
        <v>10389.312</v>
      </c>
      <c r="E17" s="58" t="s">
        <v>329</v>
      </c>
      <c r="M17" s="118"/>
      <c r="N17" s="141"/>
      <c r="O17" s="118"/>
      <c r="P17" s="118"/>
      <c r="Q17" s="142"/>
      <c r="R17" s="118"/>
    </row>
    <row r="18" spans="1:18" ht="12">
      <c r="A18" s="225"/>
      <c r="B18" s="58" t="s">
        <v>38</v>
      </c>
      <c r="C18" s="225"/>
      <c r="D18" s="284">
        <f>ProductionSequence!O184</f>
        <v>6418.864</v>
      </c>
      <c r="E18" s="58" t="s">
        <v>329</v>
      </c>
      <c r="M18" s="118"/>
      <c r="N18" s="141"/>
      <c r="O18" s="118"/>
      <c r="P18" s="118"/>
      <c r="Q18" s="142"/>
      <c r="R18" s="118"/>
    </row>
    <row r="19" spans="1:18" ht="12">
      <c r="A19" s="225"/>
      <c r="B19" s="58" t="s">
        <v>331</v>
      </c>
      <c r="C19" s="225"/>
      <c r="D19" s="284">
        <f>ProductionSequence!L190</f>
        <v>141</v>
      </c>
      <c r="E19" s="58" t="s">
        <v>329</v>
      </c>
      <c r="M19" s="118"/>
      <c r="N19" s="141"/>
      <c r="O19" s="118"/>
      <c r="P19" s="118"/>
      <c r="Q19" s="142"/>
      <c r="R19" s="118"/>
    </row>
    <row r="20" spans="1:18" ht="12">
      <c r="A20" s="225"/>
      <c r="B20" s="225"/>
      <c r="C20" s="225"/>
      <c r="D20" s="225"/>
      <c r="E20" s="225"/>
      <c r="M20" s="118"/>
      <c r="N20" s="141"/>
      <c r="O20" s="141"/>
      <c r="P20" s="118"/>
      <c r="Q20" s="142"/>
      <c r="R20" s="118"/>
    </row>
    <row r="21" spans="1:18" ht="12">
      <c r="A21" s="297"/>
      <c r="B21" s="297"/>
      <c r="C21" s="297"/>
      <c r="D21" s="297"/>
      <c r="E21" s="297"/>
      <c r="M21" s="118"/>
      <c r="N21" s="141"/>
      <c r="O21" s="141"/>
      <c r="P21" s="118"/>
      <c r="Q21" s="142"/>
      <c r="R21" s="118"/>
    </row>
    <row r="22" spans="1:18" ht="12">
      <c r="A22" s="298" t="s">
        <v>332</v>
      </c>
      <c r="B22" s="299"/>
      <c r="C22" s="299"/>
      <c r="D22" s="300">
        <f>D12-D14</f>
        <v>14978.605341333332</v>
      </c>
      <c r="E22" s="301" t="s">
        <v>329</v>
      </c>
      <c r="M22" s="118"/>
      <c r="N22" s="118"/>
      <c r="O22" s="118"/>
      <c r="P22" s="118"/>
      <c r="Q22" s="118"/>
      <c r="R22" s="118"/>
    </row>
    <row r="23" spans="13:18" ht="12">
      <c r="M23" s="118"/>
      <c r="N23" s="118"/>
      <c r="O23" s="118"/>
      <c r="P23" s="118"/>
      <c r="Q23" s="118"/>
      <c r="R23" s="118"/>
    </row>
    <row r="24" spans="13:19" ht="12">
      <c r="M24" s="118"/>
      <c r="N24" s="141"/>
      <c r="O24" s="141"/>
      <c r="P24" s="141"/>
      <c r="Q24" s="141"/>
      <c r="R24" s="141"/>
      <c r="S24" s="60"/>
    </row>
    <row r="25" spans="13:19" ht="12">
      <c r="M25" s="118"/>
      <c r="N25" s="141"/>
      <c r="O25" s="141"/>
      <c r="P25" s="141"/>
      <c r="Q25" s="141"/>
      <c r="R25" s="141"/>
      <c r="S25" s="60"/>
    </row>
    <row r="26" spans="13:19" ht="12">
      <c r="M26" s="118"/>
      <c r="N26" s="141"/>
      <c r="O26" s="141"/>
      <c r="P26" s="141"/>
      <c r="Q26" s="141"/>
      <c r="R26" s="143"/>
      <c r="S26" s="5"/>
    </row>
    <row r="27" spans="13:19" ht="12">
      <c r="M27" s="118"/>
      <c r="N27" s="141"/>
      <c r="O27" s="141"/>
      <c r="P27" s="141"/>
      <c r="Q27" s="144"/>
      <c r="R27" s="143"/>
      <c r="S27" s="5"/>
    </row>
    <row r="28" spans="13:19" ht="12">
      <c r="M28" s="118"/>
      <c r="N28" s="141"/>
      <c r="O28" s="141"/>
      <c r="P28" s="141"/>
      <c r="Q28" s="144"/>
      <c r="R28" s="143"/>
      <c r="S28" s="5"/>
    </row>
    <row r="29" spans="13:19" ht="12">
      <c r="M29" s="118"/>
      <c r="N29" s="141"/>
      <c r="O29" s="141"/>
      <c r="P29" s="141"/>
      <c r="Q29" s="141"/>
      <c r="R29" s="143"/>
      <c r="S29" s="5"/>
    </row>
    <row r="30" spans="13:19" ht="12">
      <c r="M30" s="118"/>
      <c r="N30" s="118"/>
      <c r="O30" s="118"/>
      <c r="P30" s="118"/>
      <c r="Q30" s="145"/>
      <c r="R30" s="118"/>
      <c r="S30" s="65"/>
    </row>
    <row r="31" spans="13:18" ht="12">
      <c r="M31" s="118"/>
      <c r="N31" s="118"/>
      <c r="O31" s="118"/>
      <c r="P31" s="118"/>
      <c r="Q31" s="118"/>
      <c r="R31" s="118"/>
    </row>
  </sheetData>
  <sheetProtection password="ECAF" sheet="1" selectLockedCells="1"/>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rgb="FFFF0000"/>
  </sheetPr>
  <dimension ref="A1:W33"/>
  <sheetViews>
    <sheetView zoomScaleSheetLayoutView="100" workbookViewId="0" topLeftCell="A1">
      <selection activeCell="C15" sqref="C15"/>
    </sheetView>
  </sheetViews>
  <sheetFormatPr defaultColWidth="8.8515625" defaultRowHeight="12.75"/>
  <cols>
    <col min="1" max="1" width="23.28125" style="0" customWidth="1"/>
    <col min="2" max="2" width="12.28125" style="0" customWidth="1"/>
    <col min="3" max="6" width="9.28125" style="0" bestFit="1" customWidth="1"/>
    <col min="7" max="7" width="9.28125" style="0" hidden="1" customWidth="1"/>
    <col min="8" max="10" width="10.7109375" style="0" customWidth="1"/>
    <col min="11" max="11" width="9.28125" style="0" bestFit="1" customWidth="1"/>
    <col min="12" max="12" width="10.421875" style="0" customWidth="1"/>
    <col min="13" max="13" width="11.140625" style="0" bestFit="1" customWidth="1"/>
    <col min="14" max="14" width="12.28125" style="0" customWidth="1"/>
    <col min="15" max="15" width="12.140625" style="0" customWidth="1"/>
    <col min="16" max="16" width="11.8515625" style="0" customWidth="1"/>
    <col min="17" max="17" width="12.7109375" style="0" customWidth="1"/>
    <col min="18" max="18" width="24.7109375" style="0" customWidth="1"/>
  </cols>
  <sheetData>
    <row r="1" spans="1:17" ht="12">
      <c r="A1" s="14" t="s">
        <v>359</v>
      </c>
      <c r="B1" s="14"/>
      <c r="C1" s="15"/>
      <c r="D1" s="15"/>
      <c r="E1" s="8"/>
      <c r="F1" s="8"/>
      <c r="G1" s="9"/>
      <c r="H1" s="9"/>
      <c r="I1" s="9"/>
      <c r="J1" s="9"/>
      <c r="K1" s="9"/>
      <c r="L1" s="9"/>
      <c r="M1" s="9"/>
      <c r="N1" s="10"/>
      <c r="O1" s="10"/>
      <c r="P1" s="10"/>
      <c r="Q1" s="10"/>
    </row>
    <row r="2" spans="1:21" ht="12.75" thickBot="1">
      <c r="A2" s="119"/>
      <c r="B2" s="16"/>
      <c r="C2" s="17"/>
      <c r="D2" s="17"/>
      <c r="E2" s="17"/>
      <c r="F2" s="17"/>
      <c r="G2" s="18"/>
      <c r="H2" s="18"/>
      <c r="I2" s="18"/>
      <c r="J2" s="18"/>
      <c r="K2" s="18"/>
      <c r="L2" s="18"/>
      <c r="M2" s="18"/>
      <c r="N2" s="19"/>
      <c r="O2" s="19"/>
      <c r="P2" s="19"/>
      <c r="Q2" s="19"/>
      <c r="S2" s="378" t="s">
        <v>2</v>
      </c>
      <c r="T2" s="379"/>
      <c r="U2" s="379"/>
    </row>
    <row r="3" spans="1:21" ht="36.75" customHeight="1" thickBot="1" thickTop="1">
      <c r="A3" s="75" t="s">
        <v>42</v>
      </c>
      <c r="B3" s="106"/>
      <c r="C3" s="104" t="s">
        <v>43</v>
      </c>
      <c r="D3" s="104" t="s">
        <v>44</v>
      </c>
      <c r="E3" s="104" t="s">
        <v>45</v>
      </c>
      <c r="F3" s="76" t="s">
        <v>74</v>
      </c>
      <c r="G3" s="76" t="s">
        <v>46</v>
      </c>
      <c r="H3" s="109" t="s">
        <v>87</v>
      </c>
      <c r="I3" s="104" t="s">
        <v>84</v>
      </c>
      <c r="J3" s="104" t="s">
        <v>48</v>
      </c>
      <c r="K3" s="104" t="s">
        <v>47</v>
      </c>
      <c r="L3" s="104" t="s">
        <v>18</v>
      </c>
      <c r="M3" s="104" t="s">
        <v>49</v>
      </c>
      <c r="N3" s="104" t="s">
        <v>89</v>
      </c>
      <c r="O3" s="104" t="s">
        <v>88</v>
      </c>
      <c r="P3" s="104" t="s">
        <v>50</v>
      </c>
      <c r="Q3" s="105" t="s">
        <v>90</v>
      </c>
      <c r="R3" s="79" t="s">
        <v>42</v>
      </c>
      <c r="S3" s="102" t="s">
        <v>85</v>
      </c>
      <c r="T3" s="102" t="s">
        <v>86</v>
      </c>
      <c r="U3" s="103" t="s">
        <v>91</v>
      </c>
    </row>
    <row r="4" spans="1:22" ht="13.5" thickBot="1" thickTop="1">
      <c r="A4" s="68" t="s">
        <v>51</v>
      </c>
      <c r="B4" s="81" t="s">
        <v>52</v>
      </c>
      <c r="C4" s="357">
        <v>12500</v>
      </c>
      <c r="D4" s="82">
        <f>C4*0.22</f>
        <v>2750</v>
      </c>
      <c r="E4" s="360">
        <v>20</v>
      </c>
      <c r="F4" s="360">
        <v>500</v>
      </c>
      <c r="G4" s="66">
        <f aca="true" t="shared" si="0" ref="G4:H17">($C4-$D4)/$E4</f>
        <v>487.5</v>
      </c>
      <c r="H4" s="107">
        <f>($C4-$D4)/$E4</f>
        <v>487.5</v>
      </c>
      <c r="I4" s="108">
        <f>D4*0.09+H4*0.05</f>
        <v>271.875</v>
      </c>
      <c r="J4" s="82">
        <f>($C4+$D4)/2*Assumptions!G38</f>
        <v>381.25</v>
      </c>
      <c r="K4" s="82">
        <f>($C4+$D4)/2*Assumptions!G39</f>
        <v>76.25</v>
      </c>
      <c r="L4" s="82">
        <f>($C4+$D4)/2*Assumptions!G40</f>
        <v>76.25</v>
      </c>
      <c r="M4" s="82">
        <f>H4+J4+K4+L4</f>
        <v>1021.25</v>
      </c>
      <c r="N4" s="89">
        <f>(0.4*C4)/E4</f>
        <v>250</v>
      </c>
      <c r="O4" s="90">
        <f>(Assumptions!C46*Assumptions!B46*F4)+((Assumptions!C46*Assumptions!B46*F4)*Assumptions!D46)</f>
        <v>2677.5</v>
      </c>
      <c r="P4" s="95">
        <f>SUM($N4:$O4)</f>
        <v>2927.5</v>
      </c>
      <c r="Q4" s="98">
        <f aca="true" t="shared" si="1" ref="Q4:Q17">$M4+$P4</f>
        <v>3948.75</v>
      </c>
      <c r="R4" s="68" t="str">
        <f>A4</f>
        <v>Tractor, 30hp</v>
      </c>
      <c r="S4" s="97">
        <f aca="true" t="shared" si="2" ref="S4:S17">(M4)/F4</f>
        <v>2.0425</v>
      </c>
      <c r="T4" s="72">
        <f>(P4)/F4</f>
        <v>5.855</v>
      </c>
      <c r="U4" s="67">
        <f>S4+T4</f>
        <v>7.897500000000001</v>
      </c>
      <c r="V4" s="12"/>
    </row>
    <row r="5" spans="1:22" ht="13.5" thickBot="1" thickTop="1">
      <c r="A5" s="70" t="s">
        <v>53</v>
      </c>
      <c r="B5" s="84" t="s">
        <v>54</v>
      </c>
      <c r="C5" s="358">
        <v>24400</v>
      </c>
      <c r="D5" s="82">
        <f aca="true" t="shared" si="3" ref="D5:D10">C5*0.22</f>
        <v>5368</v>
      </c>
      <c r="E5" s="361">
        <v>20</v>
      </c>
      <c r="F5" s="361">
        <v>500</v>
      </c>
      <c r="G5" s="69">
        <f t="shared" si="0"/>
        <v>951.6</v>
      </c>
      <c r="H5" s="74">
        <f t="shared" si="0"/>
        <v>951.6</v>
      </c>
      <c r="I5" s="87">
        <f aca="true" t="shared" si="4" ref="I5:I17">D5*0.09+H5*0.05</f>
        <v>530.7</v>
      </c>
      <c r="J5" s="85">
        <f>($C5+$D5)/2*Assumptions!G38</f>
        <v>744.2</v>
      </c>
      <c r="K5" s="85">
        <f>($C5+$D5)/2*Assumptions!G39</f>
        <v>148.84</v>
      </c>
      <c r="L5" s="85">
        <f>($C5+$D5)/2*Assumptions!G40</f>
        <v>148.84</v>
      </c>
      <c r="M5" s="85">
        <f>H5+J5+K5+L5</f>
        <v>1993.48</v>
      </c>
      <c r="N5" s="91">
        <f>(0.4*C5)/E5</f>
        <v>488</v>
      </c>
      <c r="O5" s="92">
        <f>(Assumptions!C47*Assumptions!B47*F5)+((Assumptions!C47*Assumptions!B47*F5)*Assumptions!D47)</f>
        <v>4462.5</v>
      </c>
      <c r="P5" s="99">
        <f aca="true" t="shared" si="5" ref="P5:P15">SUM($N5:$O5)</f>
        <v>4950.5</v>
      </c>
      <c r="Q5" s="100">
        <f t="shared" si="1"/>
        <v>6943.98</v>
      </c>
      <c r="R5" s="70" t="str">
        <f>A5</f>
        <v>Tractor, 60hp</v>
      </c>
      <c r="S5" s="101">
        <f t="shared" si="2"/>
        <v>3.98696</v>
      </c>
      <c r="T5" s="72">
        <f aca="true" t="shared" si="6" ref="T5:T19">(P5)/F5</f>
        <v>9.901</v>
      </c>
      <c r="U5" s="80">
        <f aca="true" t="shared" si="7" ref="U5:U19">S5+T5</f>
        <v>13.88796</v>
      </c>
      <c r="V5" s="12"/>
    </row>
    <row r="6" spans="1:22" ht="13.5" thickBot="1" thickTop="1">
      <c r="A6" s="70" t="s">
        <v>250</v>
      </c>
      <c r="B6" s="84" t="s">
        <v>61</v>
      </c>
      <c r="C6" s="358">
        <v>6000</v>
      </c>
      <c r="D6" s="82">
        <f t="shared" si="3"/>
        <v>1320</v>
      </c>
      <c r="E6" s="361">
        <v>12</v>
      </c>
      <c r="F6" s="361">
        <v>125</v>
      </c>
      <c r="G6" s="69">
        <f t="shared" si="0"/>
        <v>390</v>
      </c>
      <c r="H6" s="74">
        <f t="shared" si="0"/>
        <v>390</v>
      </c>
      <c r="I6" s="87">
        <f t="shared" si="4"/>
        <v>138.3</v>
      </c>
      <c r="J6" s="85">
        <f>($C6+$D6)/2*Assumptions!G38</f>
        <v>183</v>
      </c>
      <c r="K6" s="85">
        <f>($C6+$D6)/2*Assumptions!G39</f>
        <v>36.6</v>
      </c>
      <c r="L6" s="85">
        <f>($C6+$D6)/2*Assumptions!G40</f>
        <v>36.6</v>
      </c>
      <c r="M6" s="85">
        <f aca="true" t="shared" si="8" ref="M6:M17">H6+J6+K6+L6</f>
        <v>646.2</v>
      </c>
      <c r="N6" s="91">
        <f aca="true" t="shared" si="9" ref="N6:N17">(0.4*C6)/E6</f>
        <v>200</v>
      </c>
      <c r="O6" s="92">
        <v>0</v>
      </c>
      <c r="P6" s="99">
        <f t="shared" si="5"/>
        <v>200</v>
      </c>
      <c r="Q6" s="100">
        <f t="shared" si="1"/>
        <v>846.2</v>
      </c>
      <c r="R6" s="70" t="str">
        <f aca="true" t="shared" si="10" ref="R6:R17">A6</f>
        <v>PTO Blast Sprayer</v>
      </c>
      <c r="S6" s="101">
        <f t="shared" si="2"/>
        <v>5.1696</v>
      </c>
      <c r="T6" s="72">
        <f t="shared" si="6"/>
        <v>1.6</v>
      </c>
      <c r="U6" s="80">
        <f t="shared" si="7"/>
        <v>6.7696000000000005</v>
      </c>
      <c r="V6" s="12"/>
    </row>
    <row r="7" spans="1:22" ht="13.5" thickBot="1" thickTop="1">
      <c r="A7" s="70" t="s">
        <v>115</v>
      </c>
      <c r="B7" s="84" t="s">
        <v>2</v>
      </c>
      <c r="C7" s="358">
        <v>2000</v>
      </c>
      <c r="D7" s="82">
        <f t="shared" si="3"/>
        <v>440</v>
      </c>
      <c r="E7" s="361">
        <v>15</v>
      </c>
      <c r="F7" s="362">
        <v>75</v>
      </c>
      <c r="G7" s="69">
        <f t="shared" si="0"/>
        <v>104</v>
      </c>
      <c r="H7" s="74">
        <f t="shared" si="0"/>
        <v>104</v>
      </c>
      <c r="I7" s="87">
        <f t="shared" si="4"/>
        <v>44.800000000000004</v>
      </c>
      <c r="J7" s="85">
        <f>($C7+$D7)/2*Assumptions!G38</f>
        <v>61</v>
      </c>
      <c r="K7" s="85">
        <f>($C7+$D7)/2*Assumptions!G39</f>
        <v>12.200000000000001</v>
      </c>
      <c r="L7" s="85">
        <f>($C7+$D7)/2*Assumptions!G40</f>
        <v>12.200000000000001</v>
      </c>
      <c r="M7" s="85">
        <f t="shared" si="8"/>
        <v>189.39999999999998</v>
      </c>
      <c r="N7" s="91">
        <f t="shared" si="9"/>
        <v>53.333333333333336</v>
      </c>
      <c r="O7" s="92">
        <v>0</v>
      </c>
      <c r="P7" s="99">
        <f t="shared" si="5"/>
        <v>53.333333333333336</v>
      </c>
      <c r="Q7" s="100">
        <f t="shared" si="1"/>
        <v>242.73333333333332</v>
      </c>
      <c r="R7" s="70" t="str">
        <f t="shared" si="10"/>
        <v>Plastic Mulch Lifter</v>
      </c>
      <c r="S7" s="101">
        <f t="shared" si="2"/>
        <v>2.525333333333333</v>
      </c>
      <c r="T7" s="72">
        <f t="shared" si="6"/>
        <v>0.7111111111111111</v>
      </c>
      <c r="U7" s="80">
        <f t="shared" si="7"/>
        <v>3.2364444444444445</v>
      </c>
      <c r="V7" s="47"/>
    </row>
    <row r="8" spans="1:22" ht="13.5" thickBot="1" thickTop="1">
      <c r="A8" s="70" t="s">
        <v>55</v>
      </c>
      <c r="B8" s="84" t="s">
        <v>60</v>
      </c>
      <c r="C8" s="358">
        <v>5000</v>
      </c>
      <c r="D8" s="82">
        <f t="shared" si="3"/>
        <v>1100</v>
      </c>
      <c r="E8" s="361">
        <v>15</v>
      </c>
      <c r="F8" s="361">
        <v>125</v>
      </c>
      <c r="G8" s="69">
        <f aca="true" t="shared" si="11" ref="G8:G15">($C8-$D8)/$E8</f>
        <v>260</v>
      </c>
      <c r="H8" s="74">
        <f t="shared" si="0"/>
        <v>260</v>
      </c>
      <c r="I8" s="87">
        <f t="shared" si="4"/>
        <v>112</v>
      </c>
      <c r="J8" s="85">
        <f>($C8+$D8)/2*Assumptions!G38</f>
        <v>152.5</v>
      </c>
      <c r="K8" s="85">
        <f>($C8+$D8)/2*Assumptions!G39</f>
        <v>30.5</v>
      </c>
      <c r="L8" s="85">
        <f>($C8+$D8)/2*Assumptions!G40</f>
        <v>30.5</v>
      </c>
      <c r="M8" s="85">
        <f t="shared" si="8"/>
        <v>473.5</v>
      </c>
      <c r="N8" s="91">
        <f t="shared" si="9"/>
        <v>133.33333333333334</v>
      </c>
      <c r="O8" s="92">
        <v>0</v>
      </c>
      <c r="P8" s="99">
        <f t="shared" si="5"/>
        <v>133.33333333333334</v>
      </c>
      <c r="Q8" s="100">
        <f t="shared" si="1"/>
        <v>606.8333333333334</v>
      </c>
      <c r="R8" s="70" t="str">
        <f t="shared" si="10"/>
        <v>9' Disc</v>
      </c>
      <c r="S8" s="101">
        <f t="shared" si="2"/>
        <v>3.788</v>
      </c>
      <c r="T8" s="72">
        <f t="shared" si="6"/>
        <v>1.0666666666666667</v>
      </c>
      <c r="U8" s="80">
        <f t="shared" si="7"/>
        <v>4.854666666666667</v>
      </c>
      <c r="V8" s="12"/>
    </row>
    <row r="9" spans="1:22" ht="13.5" thickBot="1" thickTop="1">
      <c r="A9" s="70" t="s">
        <v>110</v>
      </c>
      <c r="B9" s="84" t="s">
        <v>2</v>
      </c>
      <c r="C9" s="358">
        <v>300</v>
      </c>
      <c r="D9" s="82">
        <f t="shared" si="3"/>
        <v>66</v>
      </c>
      <c r="E9" s="361">
        <v>15</v>
      </c>
      <c r="F9" s="361">
        <v>125</v>
      </c>
      <c r="G9" s="69">
        <f t="shared" si="11"/>
        <v>15.6</v>
      </c>
      <c r="H9" s="74">
        <f t="shared" si="0"/>
        <v>15.6</v>
      </c>
      <c r="I9" s="87">
        <f aca="true" t="shared" si="12" ref="I9:I14">D9*0.09+H9*0.05</f>
        <v>6.72</v>
      </c>
      <c r="J9" s="85">
        <f>($C9+$D9)/2*Assumptions!G38</f>
        <v>9.15</v>
      </c>
      <c r="K9" s="85">
        <f>($C9+$D9)/2*Assumptions!G39</f>
        <v>1.83</v>
      </c>
      <c r="L9" s="85">
        <f>($C9+$D9)/2*Assumptions!G40</f>
        <v>1.83</v>
      </c>
      <c r="M9" s="85">
        <f t="shared" si="8"/>
        <v>28.409999999999997</v>
      </c>
      <c r="N9" s="91">
        <f t="shared" si="9"/>
        <v>8</v>
      </c>
      <c r="O9" s="92">
        <v>0</v>
      </c>
      <c r="P9" s="99">
        <f t="shared" si="5"/>
        <v>8</v>
      </c>
      <c r="Q9" s="100">
        <f t="shared" si="1"/>
        <v>36.41</v>
      </c>
      <c r="R9" s="70" t="str">
        <f t="shared" si="10"/>
        <v>Subsoiler</v>
      </c>
      <c r="S9" s="101">
        <f aca="true" t="shared" si="13" ref="S9:S14">(M9)/F9</f>
        <v>0.22727999999999998</v>
      </c>
      <c r="T9" s="72">
        <f aca="true" t="shared" si="14" ref="T9:T14">(P9)/F9</f>
        <v>0.064</v>
      </c>
      <c r="U9" s="80">
        <f aca="true" t="shared" si="15" ref="U9:U14">S9+T9</f>
        <v>0.29128</v>
      </c>
      <c r="V9" s="12"/>
    </row>
    <row r="10" spans="1:22" ht="13.5" thickBot="1" thickTop="1">
      <c r="A10" s="70" t="s">
        <v>111</v>
      </c>
      <c r="B10" s="84" t="s">
        <v>2</v>
      </c>
      <c r="C10" s="358">
        <v>1000</v>
      </c>
      <c r="D10" s="82">
        <f t="shared" si="3"/>
        <v>220</v>
      </c>
      <c r="E10" s="361">
        <v>15</v>
      </c>
      <c r="F10" s="361">
        <v>100</v>
      </c>
      <c r="G10" s="69">
        <f t="shared" si="11"/>
        <v>52</v>
      </c>
      <c r="H10" s="74">
        <f t="shared" si="0"/>
        <v>52</v>
      </c>
      <c r="I10" s="87">
        <f t="shared" si="12"/>
        <v>22.400000000000002</v>
      </c>
      <c r="J10" s="85">
        <f>($C10+$D10)/2*Assumptions!G38</f>
        <v>30.5</v>
      </c>
      <c r="K10" s="85">
        <f>($C10+$D10)/2*Assumptions!G39</f>
        <v>6.1000000000000005</v>
      </c>
      <c r="L10" s="85">
        <f>($C10+$D10)/2*Assumptions!G40</f>
        <v>6.1000000000000005</v>
      </c>
      <c r="M10" s="85">
        <f t="shared" si="8"/>
        <v>94.69999999999999</v>
      </c>
      <c r="N10" s="91">
        <f t="shared" si="9"/>
        <v>26.666666666666668</v>
      </c>
      <c r="O10" s="92">
        <v>0</v>
      </c>
      <c r="P10" s="99">
        <f t="shared" si="5"/>
        <v>26.666666666666668</v>
      </c>
      <c r="Q10" s="100">
        <f t="shared" si="1"/>
        <v>121.36666666666666</v>
      </c>
      <c r="R10" s="70" t="str">
        <f t="shared" si="10"/>
        <v>Rotary Spreader</v>
      </c>
      <c r="S10" s="101">
        <f t="shared" si="13"/>
        <v>0.9469999999999998</v>
      </c>
      <c r="T10" s="72">
        <f t="shared" si="14"/>
        <v>0.26666666666666666</v>
      </c>
      <c r="U10" s="80">
        <f t="shared" si="15"/>
        <v>1.2136666666666664</v>
      </c>
      <c r="V10" s="12"/>
    </row>
    <row r="11" spans="1:22" ht="13.5" thickBot="1" thickTop="1">
      <c r="A11" s="70" t="s">
        <v>116</v>
      </c>
      <c r="B11" s="84" t="s">
        <v>2</v>
      </c>
      <c r="C11" s="358">
        <v>5000</v>
      </c>
      <c r="D11" s="82">
        <f>C11*0.22</f>
        <v>1100</v>
      </c>
      <c r="E11" s="361">
        <v>15</v>
      </c>
      <c r="F11" s="361">
        <v>100</v>
      </c>
      <c r="G11" s="69">
        <f t="shared" si="11"/>
        <v>260</v>
      </c>
      <c r="H11" s="74">
        <f t="shared" si="0"/>
        <v>260</v>
      </c>
      <c r="I11" s="87">
        <f t="shared" si="12"/>
        <v>112</v>
      </c>
      <c r="J11" s="85">
        <f>($C11+$D11)/2*Assumptions!G38</f>
        <v>152.5</v>
      </c>
      <c r="K11" s="85">
        <f>($C11+$D11)/2*Assumptions!G39</f>
        <v>30.5</v>
      </c>
      <c r="L11" s="85">
        <f>($C11+$D11)/2*Assumptions!G40</f>
        <v>30.5</v>
      </c>
      <c r="M11" s="85">
        <f t="shared" si="8"/>
        <v>473.5</v>
      </c>
      <c r="N11" s="91">
        <f t="shared" si="9"/>
        <v>133.33333333333334</v>
      </c>
      <c r="O11" s="92">
        <v>0</v>
      </c>
      <c r="P11" s="99">
        <f t="shared" si="5"/>
        <v>133.33333333333334</v>
      </c>
      <c r="Q11" s="100">
        <f t="shared" si="1"/>
        <v>606.8333333333334</v>
      </c>
      <c r="R11" s="70" t="str">
        <f>A11</f>
        <v>Grain Drill</v>
      </c>
      <c r="S11" s="101">
        <f t="shared" si="13"/>
        <v>4.735</v>
      </c>
      <c r="T11" s="72">
        <f t="shared" si="14"/>
        <v>1.3333333333333335</v>
      </c>
      <c r="U11" s="80">
        <f t="shared" si="15"/>
        <v>6.068333333333333</v>
      </c>
      <c r="V11" s="12"/>
    </row>
    <row r="12" spans="1:22" ht="13.5" thickBot="1" thickTop="1">
      <c r="A12" s="70" t="s">
        <v>125</v>
      </c>
      <c r="B12" s="84"/>
      <c r="C12" s="358">
        <v>3500</v>
      </c>
      <c r="D12" s="82">
        <f>C12*0.22</f>
        <v>770</v>
      </c>
      <c r="E12" s="361">
        <v>15</v>
      </c>
      <c r="F12" s="361">
        <v>100</v>
      </c>
      <c r="G12" s="69">
        <f t="shared" si="11"/>
        <v>182</v>
      </c>
      <c r="H12" s="74">
        <f t="shared" si="0"/>
        <v>182</v>
      </c>
      <c r="I12" s="87">
        <f t="shared" si="12"/>
        <v>78.39999999999999</v>
      </c>
      <c r="J12" s="85">
        <f>($C12+$D12)/2*Assumptions!G38</f>
        <v>106.75</v>
      </c>
      <c r="K12" s="85">
        <f>($C12+$D12)/2*Assumptions!G39</f>
        <v>21.35</v>
      </c>
      <c r="L12" s="85">
        <f>($C12+$D12)/2*Assumptions!G40</f>
        <v>21.35</v>
      </c>
      <c r="M12" s="85">
        <f t="shared" si="8"/>
        <v>331.45000000000005</v>
      </c>
      <c r="N12" s="91">
        <f t="shared" si="9"/>
        <v>93.33333333333333</v>
      </c>
      <c r="O12" s="92">
        <v>0</v>
      </c>
      <c r="P12" s="99">
        <f t="shared" si="5"/>
        <v>93.33333333333333</v>
      </c>
      <c r="Q12" s="100">
        <f t="shared" si="1"/>
        <v>424.78333333333336</v>
      </c>
      <c r="R12" s="70" t="str">
        <f>A12</f>
        <v>Rototiller</v>
      </c>
      <c r="S12" s="101">
        <f t="shared" si="13"/>
        <v>3.3145000000000007</v>
      </c>
      <c r="T12" s="72">
        <f t="shared" si="14"/>
        <v>0.9333333333333332</v>
      </c>
      <c r="U12" s="80">
        <f t="shared" si="15"/>
        <v>4.247833333333334</v>
      </c>
      <c r="V12" s="12"/>
    </row>
    <row r="13" spans="1:22" ht="12.75" thickTop="1">
      <c r="A13" s="70" t="s">
        <v>365</v>
      </c>
      <c r="B13" s="84"/>
      <c r="C13" s="358">
        <v>2600</v>
      </c>
      <c r="D13" s="82">
        <f>C13*0.22</f>
        <v>572</v>
      </c>
      <c r="E13" s="361">
        <v>12</v>
      </c>
      <c r="F13" s="361">
        <v>125</v>
      </c>
      <c r="G13" s="69">
        <v>168.9</v>
      </c>
      <c r="H13" s="74">
        <f t="shared" si="0"/>
        <v>169</v>
      </c>
      <c r="I13" s="87">
        <f t="shared" si="12"/>
        <v>59.93</v>
      </c>
      <c r="J13" s="85">
        <f>($C13+$D13)/2*Assumptions!G38</f>
        <v>79.30000000000001</v>
      </c>
      <c r="K13" s="85">
        <f>($C13+$D13)/2*Assumptions!G39</f>
        <v>15.860000000000001</v>
      </c>
      <c r="L13" s="85">
        <f>($C13+$D13)/2*Assumptions!G40</f>
        <v>15.860000000000001</v>
      </c>
      <c r="M13" s="85">
        <f>H13+J13+K13+L13</f>
        <v>280.02000000000004</v>
      </c>
      <c r="N13" s="91">
        <f>(0.4*C13)/E13</f>
        <v>86.66666666666667</v>
      </c>
      <c r="O13" s="92">
        <v>0</v>
      </c>
      <c r="P13" s="99">
        <f t="shared" si="5"/>
        <v>86.66666666666667</v>
      </c>
      <c r="Q13" s="100">
        <f t="shared" si="1"/>
        <v>366.6866666666667</v>
      </c>
      <c r="R13" s="70" t="str">
        <f>A13</f>
        <v>Mower</v>
      </c>
      <c r="S13" s="101">
        <f t="shared" si="13"/>
        <v>2.2401600000000004</v>
      </c>
      <c r="T13" s="72">
        <f t="shared" si="14"/>
        <v>0.6933333333333334</v>
      </c>
      <c r="U13" s="80">
        <f t="shared" si="15"/>
        <v>2.9334933333333337</v>
      </c>
      <c r="V13" s="12"/>
    </row>
    <row r="14" spans="1:22" ht="12.75" thickBot="1">
      <c r="A14" s="70" t="s">
        <v>122</v>
      </c>
      <c r="B14" s="84"/>
      <c r="C14" s="358">
        <v>7000</v>
      </c>
      <c r="D14" s="85">
        <v>100</v>
      </c>
      <c r="E14" s="361">
        <v>20</v>
      </c>
      <c r="F14" s="361">
        <v>20</v>
      </c>
      <c r="G14" s="69">
        <f t="shared" si="11"/>
        <v>345</v>
      </c>
      <c r="H14" s="74">
        <f t="shared" si="0"/>
        <v>345</v>
      </c>
      <c r="I14" s="87">
        <f t="shared" si="12"/>
        <v>26.25</v>
      </c>
      <c r="J14" s="85">
        <f>($C14+$D14)/2*Assumptions!G38</f>
        <v>177.5</v>
      </c>
      <c r="K14" s="85">
        <f>($C14+$D14)/2*Assumptions!G39</f>
        <v>35.5</v>
      </c>
      <c r="L14" s="85">
        <f>($C14+$D14)/2*Assumptions!G40</f>
        <v>35.5</v>
      </c>
      <c r="M14" s="85">
        <f t="shared" si="8"/>
        <v>593.5</v>
      </c>
      <c r="N14" s="91">
        <f t="shared" si="9"/>
        <v>140</v>
      </c>
      <c r="O14" s="92">
        <v>0</v>
      </c>
      <c r="P14" s="99">
        <f t="shared" si="5"/>
        <v>140</v>
      </c>
      <c r="Q14" s="100">
        <f t="shared" si="1"/>
        <v>733.5</v>
      </c>
      <c r="R14" s="70" t="str">
        <f t="shared" si="10"/>
        <v>Fumigation Rig (modified)</v>
      </c>
      <c r="S14" s="101">
        <f t="shared" si="13"/>
        <v>29.675</v>
      </c>
      <c r="T14" s="72">
        <f t="shared" si="14"/>
        <v>7</v>
      </c>
      <c r="U14" s="80">
        <f t="shared" si="15"/>
        <v>36.675</v>
      </c>
      <c r="V14" s="12"/>
    </row>
    <row r="15" spans="1:22" ht="13.5" thickBot="1" thickTop="1">
      <c r="A15" s="71" t="s">
        <v>57</v>
      </c>
      <c r="B15" s="86">
        <v>400</v>
      </c>
      <c r="C15" s="358">
        <v>400</v>
      </c>
      <c r="D15" s="82">
        <f>C15*0.22</f>
        <v>88</v>
      </c>
      <c r="E15" s="361">
        <v>10</v>
      </c>
      <c r="F15" s="361">
        <v>150</v>
      </c>
      <c r="G15" s="69">
        <f t="shared" si="11"/>
        <v>31.2</v>
      </c>
      <c r="H15" s="74">
        <f t="shared" si="0"/>
        <v>31.2</v>
      </c>
      <c r="I15" s="87">
        <f t="shared" si="4"/>
        <v>9.48</v>
      </c>
      <c r="J15" s="85">
        <f>($C15+$D15)/2*Assumptions!G38</f>
        <v>12.200000000000001</v>
      </c>
      <c r="K15" s="85">
        <f>($C15+$D15)/2*Assumptions!G39</f>
        <v>2.44</v>
      </c>
      <c r="L15" s="85">
        <f>($C15+$D15)/2*Assumptions!G40</f>
        <v>2.44</v>
      </c>
      <c r="M15" s="85">
        <f t="shared" si="8"/>
        <v>48.279999999999994</v>
      </c>
      <c r="N15" s="91">
        <f t="shared" si="9"/>
        <v>16</v>
      </c>
      <c r="O15" s="92">
        <v>0</v>
      </c>
      <c r="P15" s="99">
        <f t="shared" si="5"/>
        <v>16</v>
      </c>
      <c r="Q15" s="100">
        <f t="shared" si="1"/>
        <v>64.28</v>
      </c>
      <c r="R15" s="70" t="str">
        <f t="shared" si="10"/>
        <v>Fertilizer Injector</v>
      </c>
      <c r="S15" s="101">
        <f t="shared" si="2"/>
        <v>0.32186666666666663</v>
      </c>
      <c r="T15" s="72">
        <f t="shared" si="6"/>
        <v>0.10666666666666667</v>
      </c>
      <c r="U15" s="80">
        <f t="shared" si="7"/>
        <v>0.4285333333333333</v>
      </c>
      <c r="V15" s="12"/>
    </row>
    <row r="16" spans="1:22" ht="13.5" thickBot="1" thickTop="1">
      <c r="A16" s="71" t="s">
        <v>284</v>
      </c>
      <c r="B16" s="86"/>
      <c r="C16" s="358">
        <v>24645</v>
      </c>
      <c r="D16" s="85">
        <v>0</v>
      </c>
      <c r="E16" s="361">
        <v>20</v>
      </c>
      <c r="F16" s="361">
        <v>45</v>
      </c>
      <c r="G16" s="69">
        <f>($C16-$D16)/$E16</f>
        <v>1232.25</v>
      </c>
      <c r="H16" s="73">
        <f t="shared" si="0"/>
        <v>1232.25</v>
      </c>
      <c r="I16" s="88">
        <f>D16*0.09+H16*0.05</f>
        <v>61.612500000000004</v>
      </c>
      <c r="J16" s="85">
        <f>($C16+$D16)/2*Assumptions!G38</f>
        <v>616.125</v>
      </c>
      <c r="K16" s="85">
        <f>($C16+$D16)/2*Assumptions!G39</f>
        <v>123.22500000000001</v>
      </c>
      <c r="L16" s="85">
        <f>($C16+$D16)/2*Assumptions!G40</f>
        <v>123.22500000000001</v>
      </c>
      <c r="M16" s="85">
        <f t="shared" si="8"/>
        <v>2094.825</v>
      </c>
      <c r="N16" s="91">
        <f t="shared" si="9"/>
        <v>492.9</v>
      </c>
      <c r="O16" s="90">
        <f>(2*Assumptions!B46*F16)+((2*Assumptions!B46*F16)*Assumptions!D46)</f>
        <v>321.3</v>
      </c>
      <c r="P16" s="99">
        <f>SUM($N16:$O16)</f>
        <v>814.2</v>
      </c>
      <c r="Q16" s="100">
        <f t="shared" si="1"/>
        <v>2909.0249999999996</v>
      </c>
      <c r="R16" s="70" t="str">
        <f t="shared" si="10"/>
        <v>OH Irrigation System</v>
      </c>
      <c r="S16" s="101">
        <f>(M16)/F16</f>
        <v>46.55166666666666</v>
      </c>
      <c r="T16" s="72">
        <f>(P16)/F16</f>
        <v>18.093333333333334</v>
      </c>
      <c r="U16" s="308">
        <f>S16+T16</f>
        <v>64.645</v>
      </c>
      <c r="V16" s="309">
        <f>U16/5</f>
        <v>12.928999999999998</v>
      </c>
    </row>
    <row r="17" spans="1:22" ht="13.5" thickBot="1" thickTop="1">
      <c r="A17" s="71" t="s">
        <v>343</v>
      </c>
      <c r="B17" s="86" t="s">
        <v>67</v>
      </c>
      <c r="C17" s="358">
        <v>12382</v>
      </c>
      <c r="D17" s="85">
        <v>0</v>
      </c>
      <c r="E17" s="361">
        <v>20</v>
      </c>
      <c r="F17" s="361">
        <v>45</v>
      </c>
      <c r="G17" s="69">
        <f>($C17-$D17)/$E17</f>
        <v>619.1</v>
      </c>
      <c r="H17" s="73">
        <f t="shared" si="0"/>
        <v>619.1</v>
      </c>
      <c r="I17" s="88">
        <f t="shared" si="4"/>
        <v>30.955000000000002</v>
      </c>
      <c r="J17" s="85">
        <f>($C17+$D17)/2*Assumptions!G38</f>
        <v>309.55</v>
      </c>
      <c r="K17" s="85">
        <f>($C17+$D17)/2*Assumptions!G39</f>
        <v>61.910000000000004</v>
      </c>
      <c r="L17" s="85">
        <f>($C17+$D17)/2*Assumptions!G40</f>
        <v>61.910000000000004</v>
      </c>
      <c r="M17" s="85">
        <f t="shared" si="8"/>
        <v>1052.47</v>
      </c>
      <c r="N17" s="91">
        <f t="shared" si="9"/>
        <v>247.64000000000001</v>
      </c>
      <c r="O17" s="90">
        <f>(2*Assumptions!B46*F17)+((2*Assumptions!B46*F17)*Assumptions!D46)</f>
        <v>321.3</v>
      </c>
      <c r="P17" s="99">
        <f>SUM($N17:$O17)</f>
        <v>568.94</v>
      </c>
      <c r="Q17" s="100">
        <f t="shared" si="1"/>
        <v>1621.41</v>
      </c>
      <c r="R17" s="70" t="str">
        <f t="shared" si="10"/>
        <v>Drip Irrigation System</v>
      </c>
      <c r="S17" s="101">
        <f t="shared" si="2"/>
        <v>23.388222222222222</v>
      </c>
      <c r="T17" s="72">
        <f t="shared" si="6"/>
        <v>12.643111111111113</v>
      </c>
      <c r="U17" s="80">
        <f t="shared" si="7"/>
        <v>36.031333333333336</v>
      </c>
      <c r="V17" s="309">
        <f>U17/5</f>
        <v>7.206266666666667</v>
      </c>
    </row>
    <row r="18" spans="1:21" ht="37.5" customHeight="1" thickBot="1" thickTop="1">
      <c r="A18" s="75" t="s">
        <v>92</v>
      </c>
      <c r="B18" s="106"/>
      <c r="C18" s="104" t="s">
        <v>43</v>
      </c>
      <c r="D18" s="104" t="s">
        <v>44</v>
      </c>
      <c r="E18" s="104" t="s">
        <v>45</v>
      </c>
      <c r="F18" s="76" t="s">
        <v>74</v>
      </c>
      <c r="G18" s="76" t="s">
        <v>46</v>
      </c>
      <c r="H18" s="77" t="s">
        <v>87</v>
      </c>
      <c r="I18" s="78" t="s">
        <v>84</v>
      </c>
      <c r="J18" s="104" t="s">
        <v>48</v>
      </c>
      <c r="K18" s="104" t="s">
        <v>47</v>
      </c>
      <c r="L18" s="104" t="s">
        <v>18</v>
      </c>
      <c r="M18" s="104" t="s">
        <v>49</v>
      </c>
      <c r="N18" s="104" t="s">
        <v>89</v>
      </c>
      <c r="O18" s="104" t="s">
        <v>88</v>
      </c>
      <c r="P18" s="104" t="s">
        <v>50</v>
      </c>
      <c r="Q18" s="105" t="s">
        <v>90</v>
      </c>
      <c r="R18" s="75" t="s">
        <v>92</v>
      </c>
      <c r="S18" s="102" t="s">
        <v>85</v>
      </c>
      <c r="T18" s="102" t="s">
        <v>86</v>
      </c>
      <c r="U18" s="103" t="s">
        <v>91</v>
      </c>
    </row>
    <row r="19" spans="1:23" ht="15" customHeight="1" thickTop="1">
      <c r="A19" s="93" t="s">
        <v>56</v>
      </c>
      <c r="B19" s="94" t="s">
        <v>67</v>
      </c>
      <c r="C19" s="359">
        <v>25000</v>
      </c>
      <c r="D19" s="83">
        <v>5000</v>
      </c>
      <c r="E19" s="360">
        <v>10</v>
      </c>
      <c r="F19" s="363">
        <v>24000</v>
      </c>
      <c r="G19" s="82">
        <f>($C19-$D19)/$E19</f>
        <v>2000</v>
      </c>
      <c r="H19" s="82"/>
      <c r="I19" s="82"/>
      <c r="J19" s="82">
        <f>($C19+$D19)/2*Assumptions!G38</f>
        <v>750</v>
      </c>
      <c r="K19" s="82">
        <f>($C19+$D19)/2*Assumptions!G39</f>
        <v>150</v>
      </c>
      <c r="L19" s="82">
        <f>($C19+$D19)/2*Assumptions!G40</f>
        <v>150</v>
      </c>
      <c r="M19" s="82">
        <f>$J19+$K19+$L19</f>
        <v>1050</v>
      </c>
      <c r="N19" s="89">
        <f>(0.3*C19)/E19</f>
        <v>750</v>
      </c>
      <c r="O19" s="90">
        <f>((1/Assumptions!E49)*Assumptions!B49*F19)+(((1/Assumptions!E49)*Assumptions!B49*F19)*Assumptions!D49)</f>
        <v>4896</v>
      </c>
      <c r="P19" s="95">
        <f>SUM($N19:$O19)</f>
        <v>5646</v>
      </c>
      <c r="Q19" s="90">
        <f>$M19+$P19</f>
        <v>6696</v>
      </c>
      <c r="R19" s="96" t="s">
        <v>56</v>
      </c>
      <c r="S19" s="97">
        <f>(M19)/F19</f>
        <v>0.04375</v>
      </c>
      <c r="T19" s="97">
        <f t="shared" si="6"/>
        <v>0.23525</v>
      </c>
      <c r="U19" s="302">
        <f t="shared" si="7"/>
        <v>0.27899999999999997</v>
      </c>
      <c r="V19" s="303">
        <f>U19*50</f>
        <v>13.95</v>
      </c>
      <c r="W19" s="12"/>
    </row>
    <row r="20" spans="1:17" ht="0.75" customHeight="1">
      <c r="A20" s="20"/>
      <c r="B20" s="25"/>
      <c r="C20" s="21"/>
      <c r="D20" s="21"/>
      <c r="E20" s="21"/>
      <c r="F20" s="21"/>
      <c r="G20" s="22"/>
      <c r="H20" s="22"/>
      <c r="I20" s="22"/>
      <c r="J20" s="22"/>
      <c r="K20" s="22"/>
      <c r="L20" s="22"/>
      <c r="M20" s="22"/>
      <c r="N20" s="23"/>
      <c r="O20" s="23"/>
      <c r="P20" s="24"/>
      <c r="Q20" s="23"/>
    </row>
    <row r="21" spans="1:17" ht="0.75" customHeight="1">
      <c r="A21" s="40"/>
      <c r="B21" s="41"/>
      <c r="C21" s="37"/>
      <c r="D21" s="37"/>
      <c r="E21" s="37"/>
      <c r="F21" s="37"/>
      <c r="G21" s="38"/>
      <c r="H21" s="38"/>
      <c r="I21" s="38"/>
      <c r="J21" s="38"/>
      <c r="K21" s="38"/>
      <c r="L21" s="38"/>
      <c r="M21" s="38"/>
      <c r="N21" s="39"/>
      <c r="O21" s="39"/>
      <c r="P21" s="42"/>
      <c r="Q21" s="39"/>
    </row>
    <row r="22" spans="11:15" ht="12">
      <c r="K22" s="56"/>
      <c r="L22" s="56"/>
      <c r="M22" s="56"/>
      <c r="N22" s="56"/>
      <c r="O22" s="56"/>
    </row>
    <row r="23" spans="11:15" ht="12">
      <c r="K23" s="56"/>
      <c r="L23" s="29" t="s">
        <v>2</v>
      </c>
      <c r="M23" s="29"/>
      <c r="N23" s="117"/>
      <c r="O23" s="29"/>
    </row>
    <row r="24" spans="12:15" ht="12">
      <c r="L24" s="50" t="s">
        <v>2</v>
      </c>
      <c r="M24" s="50"/>
      <c r="N24" s="50"/>
      <c r="O24" s="50"/>
    </row>
    <row r="25" spans="1:15" ht="12">
      <c r="A25" s="59"/>
      <c r="B25" s="59"/>
      <c r="C25" s="110"/>
      <c r="L25" s="50" t="s">
        <v>2</v>
      </c>
      <c r="M25" s="50" t="s">
        <v>2</v>
      </c>
      <c r="N25" s="50"/>
      <c r="O25" s="50"/>
    </row>
    <row r="26" spans="1:3" ht="12">
      <c r="A26" s="111"/>
      <c r="B26" s="59"/>
      <c r="C26" s="110"/>
    </row>
    <row r="27" ht="12">
      <c r="B27" s="111"/>
    </row>
    <row r="28" spans="2:6" ht="12">
      <c r="B28" s="59"/>
      <c r="F28" s="346"/>
    </row>
    <row r="29" spans="1:3" ht="12">
      <c r="A29" s="59"/>
      <c r="B29" s="59"/>
      <c r="C29" s="59"/>
    </row>
    <row r="30" spans="1:10" ht="12">
      <c r="A30" s="59"/>
      <c r="B30" s="59"/>
      <c r="C30" s="59"/>
      <c r="J30" s="59"/>
    </row>
    <row r="31" ht="12">
      <c r="C31" s="59"/>
    </row>
    <row r="32" ht="12">
      <c r="C32" s="59"/>
    </row>
    <row r="33" ht="12">
      <c r="C33" s="59"/>
    </row>
  </sheetData>
  <sheetProtection password="ECAF" sheet="1" selectLockedCells="1"/>
  <mergeCells count="1">
    <mergeCell ref="S2:U2"/>
  </mergeCells>
  <printOptions/>
  <pageMargins left="0.29" right="0.21" top="0.53" bottom="0.41" header="0.5" footer="0.4"/>
  <pageSetup horizontalDpi="300" verticalDpi="300" orientation="landscape"/>
</worksheet>
</file>

<file path=xl/worksheets/sheet7.xml><?xml version="1.0" encoding="utf-8"?>
<worksheet xmlns="http://schemas.openxmlformats.org/spreadsheetml/2006/main" xmlns:r="http://schemas.openxmlformats.org/officeDocument/2006/relationships">
  <sheetPr>
    <tabColor rgb="FFFF0000"/>
    <pageSetUpPr fitToPage="1"/>
  </sheetPr>
  <dimension ref="A1:EN197"/>
  <sheetViews>
    <sheetView showGridLines="0" workbookViewId="0" topLeftCell="A1">
      <selection activeCell="I189" sqref="I189"/>
    </sheetView>
  </sheetViews>
  <sheetFormatPr defaultColWidth="9.140625" defaultRowHeight="12.75"/>
  <cols>
    <col min="1" max="1" width="6.28125" style="7" customWidth="1"/>
    <col min="2" max="2" width="4.8515625" style="7" customWidth="1"/>
    <col min="3" max="3" width="7.140625" style="7" customWidth="1"/>
    <col min="4" max="4" width="13.28125" style="7" customWidth="1"/>
    <col min="5" max="5" width="19.8515625" style="7" customWidth="1"/>
    <col min="6" max="6" width="8.421875" style="132" customWidth="1"/>
    <col min="7" max="7" width="8.8515625" style="132" customWidth="1"/>
    <col min="8" max="8" width="10.421875" style="132" customWidth="1"/>
    <col min="9" max="9" width="13.00390625" style="7" customWidth="1"/>
    <col min="10" max="10" width="10.140625" style="7" customWidth="1"/>
    <col min="11" max="11" width="7.7109375" style="132" customWidth="1"/>
    <col min="12" max="12" width="12.7109375" style="7" customWidth="1"/>
    <col min="13" max="13" width="9.421875" style="7" customWidth="1"/>
    <col min="14" max="14" width="11.421875" style="7" customWidth="1"/>
    <col min="15" max="15" width="9.7109375" style="7" customWidth="1"/>
    <col min="16" max="16" width="13.421875" style="7" customWidth="1"/>
    <col min="17" max="17" width="9.421875" style="7" bestFit="1" customWidth="1"/>
    <col min="18" max="144" width="9.140625" style="149" customWidth="1"/>
    <col min="145" max="16384" width="9.140625" style="7" customWidth="1"/>
  </cols>
  <sheetData>
    <row r="1" spans="1:18" ht="12">
      <c r="A1" s="3" t="s">
        <v>228</v>
      </c>
      <c r="B1"/>
      <c r="C1"/>
      <c r="D1"/>
      <c r="E1"/>
      <c r="F1"/>
      <c r="G1"/>
      <c r="H1"/>
      <c r="I1"/>
      <c r="J1"/>
      <c r="K1"/>
      <c r="L1"/>
      <c r="M1"/>
      <c r="N1"/>
      <c r="O1"/>
      <c r="P1" s="12"/>
      <c r="Q1" s="158"/>
      <c r="R1" s="59"/>
    </row>
    <row r="2" spans="1:18" ht="12">
      <c r="A2" s="3" t="s">
        <v>2</v>
      </c>
      <c r="B2" s="13"/>
      <c r="C2" s="13"/>
      <c r="D2" s="13"/>
      <c r="E2" s="3" t="s">
        <v>2</v>
      </c>
      <c r="F2" s="13"/>
      <c r="G2" s="13"/>
      <c r="H2" s="13"/>
      <c r="I2" s="13"/>
      <c r="J2" s="13"/>
      <c r="K2" s="30"/>
      <c r="L2" s="13" t="s">
        <v>2</v>
      </c>
      <c r="M2" s="13"/>
      <c r="N2" s="13"/>
      <c r="O2" s="13"/>
      <c r="P2" s="13"/>
      <c r="Q2" s="158"/>
      <c r="R2" s="59"/>
    </row>
    <row r="3" spans="1:18" ht="12">
      <c r="A3" s="159" t="s">
        <v>3</v>
      </c>
      <c r="B3" s="161" t="s">
        <v>135</v>
      </c>
      <c r="C3" s="160"/>
      <c r="D3" s="160"/>
      <c r="E3" s="162" t="s">
        <v>136</v>
      </c>
      <c r="F3" s="160"/>
      <c r="G3" s="160"/>
      <c r="H3" s="160"/>
      <c r="I3" s="163" t="s">
        <v>4</v>
      </c>
      <c r="J3" s="160"/>
      <c r="K3" s="160"/>
      <c r="L3" s="160"/>
      <c r="M3" s="164" t="s">
        <v>5</v>
      </c>
      <c r="N3" s="160"/>
      <c r="O3" s="160"/>
      <c r="P3" s="191" t="s">
        <v>6</v>
      </c>
      <c r="Q3" s="192" t="s">
        <v>7</v>
      </c>
      <c r="R3" s="59" t="s">
        <v>2</v>
      </c>
    </row>
    <row r="4" spans="1:18" ht="12.75" customHeight="1">
      <c r="A4" s="165"/>
      <c r="B4" s="166" t="s">
        <v>137</v>
      </c>
      <c r="C4" s="167"/>
      <c r="D4" s="167"/>
      <c r="E4" s="165"/>
      <c r="F4" s="168" t="s">
        <v>8</v>
      </c>
      <c r="G4" s="168" t="s">
        <v>9</v>
      </c>
      <c r="H4" s="168" t="s">
        <v>10</v>
      </c>
      <c r="I4" s="169" t="s">
        <v>11</v>
      </c>
      <c r="J4" s="169" t="s">
        <v>12</v>
      </c>
      <c r="K4" s="169" t="s">
        <v>138</v>
      </c>
      <c r="L4" s="169" t="s">
        <v>13</v>
      </c>
      <c r="M4" s="170" t="s">
        <v>8</v>
      </c>
      <c r="N4" s="170" t="s">
        <v>9</v>
      </c>
      <c r="O4" s="170" t="s">
        <v>14</v>
      </c>
      <c r="P4" s="171" t="s">
        <v>15</v>
      </c>
      <c r="Q4" s="193" t="s">
        <v>15</v>
      </c>
      <c r="R4" s="311" t="s">
        <v>2</v>
      </c>
    </row>
    <row r="5" spans="2:18" ht="12.75" customHeight="1">
      <c r="B5" s="172"/>
      <c r="C5" s="173"/>
      <c r="D5" s="173"/>
      <c r="F5" s="174"/>
      <c r="G5" s="174"/>
      <c r="H5" s="174"/>
      <c r="I5" s="175"/>
      <c r="J5" s="175"/>
      <c r="K5" s="175"/>
      <c r="L5" s="175"/>
      <c r="M5" s="176"/>
      <c r="N5" s="176"/>
      <c r="O5" s="176"/>
      <c r="P5" s="177"/>
      <c r="Q5" s="156"/>
      <c r="R5" s="311"/>
    </row>
    <row r="6" spans="1:144" s="198" customFormat="1" ht="12">
      <c r="A6" s="251" t="s">
        <v>139</v>
      </c>
      <c r="B6" s="196"/>
      <c r="C6" s="197"/>
      <c r="D6" s="197"/>
      <c r="F6" s="199"/>
      <c r="G6" s="199"/>
      <c r="H6" s="199"/>
      <c r="I6" s="200"/>
      <c r="J6" s="200"/>
      <c r="K6" s="200"/>
      <c r="L6" s="200"/>
      <c r="M6" s="201"/>
      <c r="N6" s="201"/>
      <c r="O6" s="201"/>
      <c r="P6" s="202"/>
      <c r="Q6" s="203"/>
      <c r="R6" s="311"/>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row>
    <row r="7" spans="1:18" ht="12">
      <c r="A7" s="150" t="s">
        <v>30</v>
      </c>
      <c r="B7" s="13"/>
      <c r="C7" s="13"/>
      <c r="D7" s="13"/>
      <c r="E7" s="13"/>
      <c r="F7" s="13"/>
      <c r="G7" s="13"/>
      <c r="H7" s="178"/>
      <c r="I7" s="179"/>
      <c r="J7" s="180"/>
      <c r="K7" s="181"/>
      <c r="L7" s="178"/>
      <c r="M7" s="13"/>
      <c r="N7" s="178"/>
      <c r="O7" s="178"/>
      <c r="P7" s="178"/>
      <c r="Q7" s="158"/>
      <c r="R7" s="59"/>
    </row>
    <row r="8" spans="1:18" ht="12">
      <c r="A8" s="13" t="s">
        <v>140</v>
      </c>
      <c r="B8" s="13" t="s">
        <v>220</v>
      </c>
      <c r="C8" s="13"/>
      <c r="D8" s="13"/>
      <c r="E8" s="6" t="s">
        <v>197</v>
      </c>
      <c r="F8" s="364">
        <v>3</v>
      </c>
      <c r="G8" s="182">
        <f>Machinery!U5+Machinery!U6</f>
        <v>20.65756</v>
      </c>
      <c r="H8" s="178">
        <f>G8*F8</f>
        <v>61.97268</v>
      </c>
      <c r="I8" s="366">
        <v>4.6</v>
      </c>
      <c r="J8" s="367" t="s">
        <v>113</v>
      </c>
      <c r="K8" s="368">
        <v>4</v>
      </c>
      <c r="L8" s="243">
        <f>+K8*I8</f>
        <v>18.4</v>
      </c>
      <c r="M8" s="185">
        <f>F8*1.2</f>
        <v>3.5999999999999996</v>
      </c>
      <c r="N8" s="178">
        <f>Assumptions!G$29</f>
        <v>10.6</v>
      </c>
      <c r="O8" s="178">
        <f>+N8*M8</f>
        <v>38.16</v>
      </c>
      <c r="P8" s="178">
        <f aca="true" t="shared" si="0" ref="P8:P13">O8+L8+H8</f>
        <v>118.53268</v>
      </c>
      <c r="Q8" s="158"/>
      <c r="R8" s="59"/>
    </row>
    <row r="9" spans="1:18" ht="12">
      <c r="A9" s="13" t="s">
        <v>140</v>
      </c>
      <c r="B9" s="13" t="s">
        <v>141</v>
      </c>
      <c r="C9" s="13"/>
      <c r="D9" s="13"/>
      <c r="E9" s="181" t="s">
        <v>142</v>
      </c>
      <c r="F9" s="182" t="s">
        <v>2</v>
      </c>
      <c r="G9" s="182" t="s">
        <v>2</v>
      </c>
      <c r="H9" s="178"/>
      <c r="I9" s="178"/>
      <c r="J9" s="180"/>
      <c r="K9" s="181"/>
      <c r="L9" s="178"/>
      <c r="M9" s="364">
        <v>18</v>
      </c>
      <c r="N9" s="178">
        <f>Assumptions!G$29</f>
        <v>10.6</v>
      </c>
      <c r="O9" s="178">
        <f>+N9*M9</f>
        <v>190.79999999999998</v>
      </c>
      <c r="P9" s="178">
        <f t="shared" si="0"/>
        <v>190.79999999999998</v>
      </c>
      <c r="Q9" s="158"/>
      <c r="R9" s="59"/>
    </row>
    <row r="10" spans="1:18" ht="12">
      <c r="A10" s="13"/>
      <c r="B10" s="13" t="s">
        <v>2</v>
      </c>
      <c r="C10" s="13"/>
      <c r="D10" s="13"/>
      <c r="E10" s="6" t="s">
        <v>198</v>
      </c>
      <c r="F10" s="364">
        <v>3</v>
      </c>
      <c r="G10" s="182">
        <f>Machinery!U5+Machinery!U7</f>
        <v>17.124404444444444</v>
      </c>
      <c r="H10" s="178">
        <f>G10*F10</f>
        <v>51.37321333333333</v>
      </c>
      <c r="I10" s="178"/>
      <c r="J10" s="180"/>
      <c r="K10" s="181"/>
      <c r="L10" s="178"/>
      <c r="M10" s="185">
        <f>F10*1.2</f>
        <v>3.5999999999999996</v>
      </c>
      <c r="N10" s="178">
        <f>Assumptions!G$29</f>
        <v>10.6</v>
      </c>
      <c r="O10" s="178">
        <f>+N10*M10</f>
        <v>38.16</v>
      </c>
      <c r="P10" s="178">
        <f t="shared" si="0"/>
        <v>89.53321333333332</v>
      </c>
      <c r="Q10" s="158"/>
      <c r="R10" s="59"/>
    </row>
    <row r="11" spans="1:18" ht="12">
      <c r="A11" s="13" t="s">
        <v>143</v>
      </c>
      <c r="B11" s="13" t="s">
        <v>202</v>
      </c>
      <c r="C11" s="13"/>
      <c r="D11" s="13"/>
      <c r="E11" s="181" t="s">
        <v>199</v>
      </c>
      <c r="F11" s="365">
        <v>1</v>
      </c>
      <c r="G11" s="182">
        <f>Machinery!V19</f>
        <v>13.95</v>
      </c>
      <c r="H11" s="178">
        <f>G11*F11</f>
        <v>13.95</v>
      </c>
      <c r="I11" s="178"/>
      <c r="J11" s="180"/>
      <c r="K11" s="181"/>
      <c r="L11" s="178"/>
      <c r="M11" s="129">
        <v>1.2</v>
      </c>
      <c r="N11" s="178">
        <f>Assumptions!G$29</f>
        <v>10.6</v>
      </c>
      <c r="O11" s="178">
        <f>+N11*M11</f>
        <v>12.719999999999999</v>
      </c>
      <c r="P11" s="178">
        <f t="shared" si="0"/>
        <v>26.669999999999998</v>
      </c>
      <c r="Q11" s="158"/>
      <c r="R11" s="59"/>
    </row>
    <row r="12" spans="1:18" ht="12">
      <c r="A12" s="13" t="s">
        <v>143</v>
      </c>
      <c r="B12" s="13" t="s">
        <v>203</v>
      </c>
      <c r="C12" s="13"/>
      <c r="D12" s="13"/>
      <c r="E12" s="6" t="s">
        <v>200</v>
      </c>
      <c r="F12" s="365">
        <v>1</v>
      </c>
      <c r="G12" s="182">
        <f>Machinery!U5+Machinery!U8</f>
        <v>18.742626666666666</v>
      </c>
      <c r="H12" s="178">
        <f>G12*F12</f>
        <v>18.742626666666666</v>
      </c>
      <c r="I12" s="178"/>
      <c r="J12" s="180"/>
      <c r="K12" s="181"/>
      <c r="L12" s="178"/>
      <c r="M12" s="129">
        <v>1.2</v>
      </c>
      <c r="N12" s="178">
        <f>Assumptions!G$29</f>
        <v>10.6</v>
      </c>
      <c r="O12" s="178">
        <f>+N12*M12</f>
        <v>12.719999999999999</v>
      </c>
      <c r="P12" s="178">
        <f t="shared" si="0"/>
        <v>31.462626666666665</v>
      </c>
      <c r="Q12" s="158"/>
      <c r="R12" s="59"/>
    </row>
    <row r="13" spans="1:18" ht="12">
      <c r="A13" s="13" t="s">
        <v>143</v>
      </c>
      <c r="B13" s="13" t="s">
        <v>201</v>
      </c>
      <c r="C13" s="13"/>
      <c r="D13" s="13"/>
      <c r="E13" s="181" t="s">
        <v>144</v>
      </c>
      <c r="F13" s="182"/>
      <c r="G13" s="182"/>
      <c r="H13" s="178"/>
      <c r="I13" s="366">
        <v>55</v>
      </c>
      <c r="J13" s="367" t="s">
        <v>114</v>
      </c>
      <c r="K13" s="368">
        <v>1</v>
      </c>
      <c r="L13" s="243">
        <f>+K13*I13</f>
        <v>55</v>
      </c>
      <c r="M13" s="182"/>
      <c r="N13" s="178"/>
      <c r="O13" s="178"/>
      <c r="P13" s="178">
        <f t="shared" si="0"/>
        <v>55</v>
      </c>
      <c r="Q13" s="158"/>
      <c r="R13" s="59"/>
    </row>
    <row r="14" spans="1:144" s="157" customFormat="1" ht="10.5" customHeight="1">
      <c r="A14" s="207" t="s">
        <v>145</v>
      </c>
      <c r="B14" s="207"/>
      <c r="C14" s="207"/>
      <c r="D14" s="207"/>
      <c r="E14" s="208"/>
      <c r="F14" s="209"/>
      <c r="G14" s="209"/>
      <c r="H14" s="210">
        <f>SUM(H8:H13)</f>
        <v>146.03852</v>
      </c>
      <c r="I14" s="210"/>
      <c r="J14" s="211"/>
      <c r="K14" s="208"/>
      <c r="L14" s="210">
        <f>SUM(L8:L13)</f>
        <v>73.4</v>
      </c>
      <c r="M14" s="240">
        <f>SUM(M8:M13)</f>
        <v>27.6</v>
      </c>
      <c r="N14" s="210"/>
      <c r="O14" s="210">
        <f>SUM(O8:O13)</f>
        <v>292.56000000000006</v>
      </c>
      <c r="P14" s="210">
        <f>SUM(P8:P13)</f>
        <v>511.99852</v>
      </c>
      <c r="Q14" s="210">
        <f>P14</f>
        <v>511.99852</v>
      </c>
      <c r="R14" s="118"/>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row>
    <row r="15" spans="1:144" s="215" customFormat="1" ht="11.25" customHeight="1">
      <c r="A15" s="214" t="s">
        <v>205</v>
      </c>
      <c r="E15" s="216"/>
      <c r="F15" s="217"/>
      <c r="G15" s="217"/>
      <c r="H15" s="218">
        <f>SUM(H8:H13)</f>
        <v>146.03852</v>
      </c>
      <c r="I15" s="219"/>
      <c r="J15" s="220"/>
      <c r="K15" s="221"/>
      <c r="L15" s="218">
        <f>SUM(L8:L13)</f>
        <v>73.4</v>
      </c>
      <c r="M15" s="252">
        <f>SUM(M8:M13)</f>
        <v>27.6</v>
      </c>
      <c r="N15" s="219"/>
      <c r="O15" s="218">
        <f>SUM(O8:O13)</f>
        <v>292.56000000000006</v>
      </c>
      <c r="P15" s="218">
        <f>SUM(P8:P13)</f>
        <v>511.99852</v>
      </c>
      <c r="Q15" s="213">
        <f>P15</f>
        <v>511.99852</v>
      </c>
      <c r="R15" s="312"/>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row>
    <row r="16" spans="1:18" ht="11.25" customHeight="1">
      <c r="A16" s="151"/>
      <c r="E16" s="130"/>
      <c r="F16" s="131"/>
      <c r="G16" s="131"/>
      <c r="H16" s="134"/>
      <c r="I16" s="152"/>
      <c r="J16" s="133"/>
      <c r="K16" s="130"/>
      <c r="L16" s="134"/>
      <c r="M16" s="131"/>
      <c r="N16" s="134"/>
      <c r="O16" s="134"/>
      <c r="P16" s="135"/>
      <c r="Q16" s="135"/>
      <c r="R16" s="118"/>
    </row>
    <row r="17" spans="1:18" ht="12">
      <c r="A17" s="187" t="s">
        <v>146</v>
      </c>
      <c r="B17" s="13"/>
      <c r="C17" s="13"/>
      <c r="D17" s="13"/>
      <c r="E17" s="181"/>
      <c r="F17" s="182"/>
      <c r="G17" s="182"/>
      <c r="H17" s="178"/>
      <c r="I17" s="152"/>
      <c r="J17" s="180"/>
      <c r="K17" s="181"/>
      <c r="L17" s="178"/>
      <c r="M17" s="182"/>
      <c r="N17" s="178"/>
      <c r="O17" s="178"/>
      <c r="P17" s="188"/>
      <c r="Q17" s="186"/>
      <c r="R17" s="59"/>
    </row>
    <row r="18" spans="1:18" ht="12">
      <c r="A18" s="136" t="s">
        <v>33</v>
      </c>
      <c r="B18" s="13"/>
      <c r="C18" s="13"/>
      <c r="D18" s="13"/>
      <c r="E18" s="181"/>
      <c r="F18" s="185"/>
      <c r="G18" s="185"/>
      <c r="H18" s="178" t="s">
        <v>2</v>
      </c>
      <c r="I18" s="152"/>
      <c r="J18" s="180"/>
      <c r="K18" s="184"/>
      <c r="L18" s="183"/>
      <c r="M18" s="185"/>
      <c r="N18" s="178"/>
      <c r="O18" s="178"/>
      <c r="P18" s="178"/>
      <c r="Q18" s="158"/>
      <c r="R18" s="59"/>
    </row>
    <row r="19" spans="1:18" ht="12">
      <c r="A19" s="13" t="s">
        <v>143</v>
      </c>
      <c r="B19" s="13" t="s">
        <v>148</v>
      </c>
      <c r="C19" s="13"/>
      <c r="D19" s="13"/>
      <c r="E19" s="6" t="s">
        <v>123</v>
      </c>
      <c r="F19" s="364">
        <v>1.5</v>
      </c>
      <c r="G19" s="182">
        <f>Machinery!U5+Machinery!U9</f>
        <v>14.17924</v>
      </c>
      <c r="H19" s="178">
        <f>G19*F19</f>
        <v>21.26886</v>
      </c>
      <c r="I19" s="178"/>
      <c r="J19" s="180"/>
      <c r="K19" s="181"/>
      <c r="L19" s="178"/>
      <c r="M19" s="182">
        <f>+F19*1.2</f>
        <v>1.7999999999999998</v>
      </c>
      <c r="N19" s="178">
        <f>Assumptions!G$29</f>
        <v>10.6</v>
      </c>
      <c r="O19" s="178">
        <f>+N19*M19</f>
        <v>19.08</v>
      </c>
      <c r="P19" s="178">
        <f>O19+L19+H19</f>
        <v>40.34886</v>
      </c>
      <c r="Q19" s="158"/>
      <c r="R19" s="59"/>
    </row>
    <row r="20" spans="1:18" ht="12">
      <c r="A20" s="13" t="s">
        <v>143</v>
      </c>
      <c r="B20" s="13" t="s">
        <v>204</v>
      </c>
      <c r="C20" s="13"/>
      <c r="D20" s="13"/>
      <c r="E20" s="6" t="s">
        <v>200</v>
      </c>
      <c r="F20" s="365">
        <v>1</v>
      </c>
      <c r="G20" s="182">
        <f>Machinery!U5+Machinery!U8</f>
        <v>18.742626666666666</v>
      </c>
      <c r="H20" s="178">
        <f>G20*F20</f>
        <v>18.742626666666666</v>
      </c>
      <c r="I20" s="178"/>
      <c r="J20" s="180"/>
      <c r="K20" s="181"/>
      <c r="L20" s="178"/>
      <c r="M20" s="182">
        <f>+F20*1.2</f>
        <v>1.2</v>
      </c>
      <c r="N20" s="178">
        <f>Assumptions!G$29</f>
        <v>10.6</v>
      </c>
      <c r="O20" s="178">
        <f>+N20*M20</f>
        <v>12.719999999999999</v>
      </c>
      <c r="P20" s="178">
        <f>O20+L20+H20</f>
        <v>31.462626666666665</v>
      </c>
      <c r="Q20" s="158"/>
      <c r="R20" s="59"/>
    </row>
    <row r="21" spans="1:144" s="157" customFormat="1" ht="12">
      <c r="A21" s="207" t="s">
        <v>150</v>
      </c>
      <c r="B21" s="207"/>
      <c r="C21" s="207"/>
      <c r="D21" s="207"/>
      <c r="E21" s="207"/>
      <c r="F21" s="207"/>
      <c r="G21" s="207"/>
      <c r="H21" s="210">
        <f>SUM(H19:H20)</f>
        <v>40.01148666666667</v>
      </c>
      <c r="I21" s="210"/>
      <c r="J21" s="207"/>
      <c r="K21" s="208"/>
      <c r="L21" s="210">
        <f>SUM(L19:L20)</f>
        <v>0</v>
      </c>
      <c r="M21" s="240">
        <f>SUM(M19:M20)</f>
        <v>3</v>
      </c>
      <c r="N21" s="207"/>
      <c r="O21" s="210">
        <f>SUM(O19:O20)</f>
        <v>31.799999999999997</v>
      </c>
      <c r="P21" s="210">
        <f>SUM(P19:P20)</f>
        <v>71.81148666666667</v>
      </c>
      <c r="Q21" s="210">
        <f>P21+Q14</f>
        <v>583.8100066666666</v>
      </c>
      <c r="R21" s="5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row>
    <row r="22" spans="1:18" ht="12">
      <c r="A22" s="136" t="s">
        <v>34</v>
      </c>
      <c r="B22" s="13"/>
      <c r="C22" s="13"/>
      <c r="D22" s="13"/>
      <c r="E22" s="181"/>
      <c r="F22" s="129"/>
      <c r="G22" s="182"/>
      <c r="H22" s="178" t="s">
        <v>2</v>
      </c>
      <c r="I22" s="178"/>
      <c r="J22" s="180"/>
      <c r="K22" s="181"/>
      <c r="L22" s="178"/>
      <c r="M22" s="129"/>
      <c r="N22" s="178"/>
      <c r="O22" s="178"/>
      <c r="P22" s="178"/>
      <c r="Q22" s="158"/>
      <c r="R22" s="59"/>
    </row>
    <row r="23" spans="1:18" ht="12">
      <c r="A23" s="13" t="s">
        <v>147</v>
      </c>
      <c r="B23" s="13" t="s">
        <v>208</v>
      </c>
      <c r="C23" s="13"/>
      <c r="D23" s="13"/>
      <c r="E23" s="181" t="s">
        <v>207</v>
      </c>
      <c r="F23" s="364">
        <v>0.108</v>
      </c>
      <c r="G23" s="182">
        <f>Machinery!U4</f>
        <v>7.897500000000001</v>
      </c>
      <c r="H23" s="178">
        <f>G23*F23</f>
        <v>0.8529300000000001</v>
      </c>
      <c r="I23" s="178"/>
      <c r="J23" s="180"/>
      <c r="K23" s="181"/>
      <c r="L23" s="178"/>
      <c r="M23" s="364">
        <v>12</v>
      </c>
      <c r="N23" s="178">
        <f>Assumptions!G$29</f>
        <v>10.6</v>
      </c>
      <c r="O23" s="178">
        <f>+N23*M23</f>
        <v>127.19999999999999</v>
      </c>
      <c r="P23" s="178">
        <f aca="true" t="shared" si="1" ref="P23:P34">O23+L23+H23</f>
        <v>128.05292999999998</v>
      </c>
      <c r="Q23" s="158"/>
      <c r="R23" s="59"/>
    </row>
    <row r="24" spans="1:18" ht="12">
      <c r="A24" s="13" t="s">
        <v>147</v>
      </c>
      <c r="B24" s="13" t="s">
        <v>209</v>
      </c>
      <c r="C24" s="13"/>
      <c r="D24" s="13"/>
      <c r="E24" s="181" t="s">
        <v>284</v>
      </c>
      <c r="F24" s="364">
        <v>1</v>
      </c>
      <c r="G24" s="246">
        <f>Machinery!V16</f>
        <v>12.928999999999998</v>
      </c>
      <c r="H24" s="178">
        <f>G24*F24</f>
        <v>12.928999999999998</v>
      </c>
      <c r="I24" s="178"/>
      <c r="J24" s="180"/>
      <c r="K24" s="181"/>
      <c r="L24" s="178"/>
      <c r="M24" s="364">
        <v>0.1</v>
      </c>
      <c r="N24" s="178">
        <f>Assumptions!G$28</f>
        <v>14</v>
      </c>
      <c r="O24" s="178">
        <f>+N24*M24</f>
        <v>1.4000000000000001</v>
      </c>
      <c r="P24" s="178">
        <f t="shared" si="1"/>
        <v>14.328999999999999</v>
      </c>
      <c r="Q24" s="158"/>
      <c r="R24" s="59"/>
    </row>
    <row r="25" spans="1:18" ht="12">
      <c r="A25" s="13" t="s">
        <v>147</v>
      </c>
      <c r="B25" s="13" t="s">
        <v>210</v>
      </c>
      <c r="C25" s="13"/>
      <c r="D25" s="13"/>
      <c r="E25" s="6" t="s">
        <v>124</v>
      </c>
      <c r="F25" s="364">
        <v>3</v>
      </c>
      <c r="G25" s="182">
        <f>Machinery!U5+Machinery!U12</f>
        <v>18.135793333333332</v>
      </c>
      <c r="H25" s="178">
        <f>G25*F25</f>
        <v>54.407379999999996</v>
      </c>
      <c r="I25" s="178"/>
      <c r="J25" s="180"/>
      <c r="K25" s="181"/>
      <c r="L25" s="178"/>
      <c r="M25" s="182">
        <f>+F25*1.2</f>
        <v>3.5999999999999996</v>
      </c>
      <c r="N25" s="178">
        <f>Assumptions!G$29</f>
        <v>10.6</v>
      </c>
      <c r="O25" s="178">
        <f>+N25*M25</f>
        <v>38.16</v>
      </c>
      <c r="P25" s="178">
        <f t="shared" si="1"/>
        <v>92.56737999999999</v>
      </c>
      <c r="Q25" s="158"/>
      <c r="R25" s="59"/>
    </row>
    <row r="26" spans="1:18" ht="12">
      <c r="A26" s="13" t="s">
        <v>147</v>
      </c>
      <c r="B26" s="13" t="s">
        <v>151</v>
      </c>
      <c r="C26" s="13"/>
      <c r="D26" s="13"/>
      <c r="E26" s="181" t="s">
        <v>212</v>
      </c>
      <c r="F26" s="364">
        <v>0.75</v>
      </c>
      <c r="G26" s="182">
        <f>Machinery!U4+Machinery!U10</f>
        <v>9.111166666666668</v>
      </c>
      <c r="H26" s="178">
        <f>G26*F26</f>
        <v>6.833375</v>
      </c>
      <c r="I26" s="178"/>
      <c r="J26" s="180"/>
      <c r="K26" s="181"/>
      <c r="L26" s="178"/>
      <c r="M26" s="182">
        <f>+F26*1.2</f>
        <v>0.8999999999999999</v>
      </c>
      <c r="N26" s="178">
        <f>Assumptions!G$29</f>
        <v>10.6</v>
      </c>
      <c r="O26" s="178">
        <f>+N26*M26</f>
        <v>9.54</v>
      </c>
      <c r="P26" s="178">
        <f t="shared" si="1"/>
        <v>16.373375</v>
      </c>
      <c r="Q26" s="158"/>
      <c r="R26" s="59"/>
    </row>
    <row r="27" spans="1:18" ht="12">
      <c r="A27" s="13"/>
      <c r="B27" s="13"/>
      <c r="C27" s="13" t="s">
        <v>234</v>
      </c>
      <c r="D27" s="13"/>
      <c r="E27" s="181"/>
      <c r="F27" s="182"/>
      <c r="G27" s="182"/>
      <c r="H27" s="178"/>
      <c r="I27" s="366">
        <v>0.3</v>
      </c>
      <c r="J27" s="369" t="s">
        <v>26</v>
      </c>
      <c r="K27" s="368">
        <v>285.7</v>
      </c>
      <c r="L27" s="178">
        <f>+K27*I27</f>
        <v>85.71</v>
      </c>
      <c r="M27" s="182"/>
      <c r="N27" s="178"/>
      <c r="O27" s="178"/>
      <c r="P27" s="178">
        <f t="shared" si="1"/>
        <v>85.71</v>
      </c>
      <c r="Q27" s="158"/>
      <c r="R27" s="59"/>
    </row>
    <row r="28" spans="1:18" ht="12">
      <c r="A28" s="13"/>
      <c r="B28" s="13"/>
      <c r="C28" s="13" t="s">
        <v>152</v>
      </c>
      <c r="D28" s="13"/>
      <c r="E28" s="181"/>
      <c r="F28" s="182"/>
      <c r="G28" s="182"/>
      <c r="H28" s="178"/>
      <c r="I28" s="366">
        <v>0.58</v>
      </c>
      <c r="J28" s="369" t="s">
        <v>26</v>
      </c>
      <c r="K28" s="368">
        <v>120</v>
      </c>
      <c r="L28" s="178">
        <f>+K28*I28</f>
        <v>69.6</v>
      </c>
      <c r="M28" s="182"/>
      <c r="N28" s="178"/>
      <c r="O28" s="178"/>
      <c r="P28" s="178">
        <f t="shared" si="1"/>
        <v>69.6</v>
      </c>
      <c r="Q28" s="158"/>
      <c r="R28" s="59"/>
    </row>
    <row r="29" spans="1:18" ht="12">
      <c r="A29" s="13"/>
      <c r="B29" s="13"/>
      <c r="C29" s="13" t="s">
        <v>153</v>
      </c>
      <c r="D29" s="13"/>
      <c r="E29" s="181"/>
      <c r="F29" s="182"/>
      <c r="G29" s="182"/>
      <c r="H29" s="178"/>
      <c r="I29" s="366">
        <v>0.4</v>
      </c>
      <c r="J29" s="369" t="s">
        <v>26</v>
      </c>
      <c r="K29" s="368">
        <v>100</v>
      </c>
      <c r="L29" s="178">
        <f>+K29*I29</f>
        <v>40</v>
      </c>
      <c r="M29" s="182"/>
      <c r="N29" s="178"/>
      <c r="O29" s="178"/>
      <c r="P29" s="178">
        <f t="shared" si="1"/>
        <v>40</v>
      </c>
      <c r="Q29" s="158"/>
      <c r="R29" s="59"/>
    </row>
    <row r="30" spans="1:18" ht="12">
      <c r="A30" s="13" t="s">
        <v>143</v>
      </c>
      <c r="B30" s="13" t="s">
        <v>154</v>
      </c>
      <c r="C30" s="13"/>
      <c r="D30" s="13"/>
      <c r="E30" s="181" t="s">
        <v>213</v>
      </c>
      <c r="F30" s="365">
        <v>3</v>
      </c>
      <c r="G30" s="182">
        <f>Machinery!U5+Machinery!U14</f>
        <v>50.56296</v>
      </c>
      <c r="H30" s="178">
        <f>G30*F30</f>
        <v>151.68887999999998</v>
      </c>
      <c r="I30" s="243"/>
      <c r="J30" s="244"/>
      <c r="K30" s="245"/>
      <c r="L30" s="178"/>
      <c r="M30" s="182">
        <f>+F30*1.2</f>
        <v>3.5999999999999996</v>
      </c>
      <c r="N30" s="178">
        <f>Assumptions!G$28</f>
        <v>14</v>
      </c>
      <c r="O30" s="178">
        <f>+N30*M30</f>
        <v>50.39999999999999</v>
      </c>
      <c r="P30" s="178">
        <f t="shared" si="1"/>
        <v>202.08887999999996</v>
      </c>
      <c r="Q30" s="158"/>
      <c r="R30" s="59"/>
    </row>
    <row r="31" spans="1:18" ht="12">
      <c r="A31" s="13"/>
      <c r="B31" s="13"/>
      <c r="C31" s="13" t="s">
        <v>233</v>
      </c>
      <c r="D31" s="13"/>
      <c r="E31" s="181" t="s">
        <v>2</v>
      </c>
      <c r="F31" s="129"/>
      <c r="G31" s="182"/>
      <c r="H31" s="178"/>
      <c r="I31" s="366">
        <v>3.46</v>
      </c>
      <c r="J31" s="369" t="s">
        <v>26</v>
      </c>
      <c r="K31" s="368">
        <v>150</v>
      </c>
      <c r="L31" s="178">
        <f>+K31*I31</f>
        <v>519</v>
      </c>
      <c r="M31" s="129"/>
      <c r="N31" s="178"/>
      <c r="O31" s="178"/>
      <c r="P31" s="178">
        <f t="shared" si="1"/>
        <v>519</v>
      </c>
      <c r="Q31" s="158"/>
      <c r="R31" s="59"/>
    </row>
    <row r="32" spans="1:18" ht="12">
      <c r="A32" s="13"/>
      <c r="B32" s="13"/>
      <c r="C32" s="13" t="s">
        <v>58</v>
      </c>
      <c r="D32" s="13"/>
      <c r="E32" s="181" t="s">
        <v>2</v>
      </c>
      <c r="F32" s="182"/>
      <c r="G32" s="182"/>
      <c r="H32" s="178"/>
      <c r="I32" s="366">
        <v>109.3</v>
      </c>
      <c r="J32" s="369" t="s">
        <v>41</v>
      </c>
      <c r="K32" s="368">
        <v>4</v>
      </c>
      <c r="L32" s="178">
        <f>+K32*I32</f>
        <v>437.2</v>
      </c>
      <c r="M32" s="182"/>
      <c r="N32" s="178"/>
      <c r="O32" s="178"/>
      <c r="P32" s="178">
        <f t="shared" si="1"/>
        <v>437.2</v>
      </c>
      <c r="Q32" s="158"/>
      <c r="R32" s="59"/>
    </row>
    <row r="33" spans="1:18" ht="12">
      <c r="A33" s="13"/>
      <c r="B33" s="13"/>
      <c r="C33" s="13" t="s">
        <v>59</v>
      </c>
      <c r="D33" s="13"/>
      <c r="E33" s="181" t="s">
        <v>2</v>
      </c>
      <c r="F33" s="182"/>
      <c r="G33" s="182"/>
      <c r="H33" s="178"/>
      <c r="I33" s="366">
        <v>129.95</v>
      </c>
      <c r="J33" s="369" t="s">
        <v>350</v>
      </c>
      <c r="K33" s="368">
        <v>1.6</v>
      </c>
      <c r="L33" s="178">
        <f>+K33*I33</f>
        <v>207.92</v>
      </c>
      <c r="M33" s="182"/>
      <c r="N33" s="178"/>
      <c r="O33" s="178"/>
      <c r="P33" s="178">
        <f t="shared" si="1"/>
        <v>207.92</v>
      </c>
      <c r="Q33" s="158"/>
      <c r="R33" s="59"/>
    </row>
    <row r="34" spans="1:18" ht="12">
      <c r="A34" s="13" t="s">
        <v>143</v>
      </c>
      <c r="B34" s="13" t="s">
        <v>211</v>
      </c>
      <c r="C34" s="13"/>
      <c r="D34" s="13"/>
      <c r="E34" s="181" t="s">
        <v>212</v>
      </c>
      <c r="F34" s="364">
        <v>0.75</v>
      </c>
      <c r="G34" s="182">
        <f>Machinery!U4+Machinery!U10</f>
        <v>9.111166666666668</v>
      </c>
      <c r="H34" s="178">
        <f>G34*F34</f>
        <v>6.833375</v>
      </c>
      <c r="I34" s="366">
        <v>0.4</v>
      </c>
      <c r="J34" s="369" t="s">
        <v>26</v>
      </c>
      <c r="K34" s="368">
        <v>20</v>
      </c>
      <c r="L34" s="178">
        <f>+K34*I34</f>
        <v>8</v>
      </c>
      <c r="M34" s="182">
        <f>+F34*1.2</f>
        <v>0.8999999999999999</v>
      </c>
      <c r="N34" s="178">
        <f>Assumptions!G$29</f>
        <v>10.6</v>
      </c>
      <c r="O34" s="178">
        <f>+N34*M34</f>
        <v>9.54</v>
      </c>
      <c r="P34" s="178">
        <f t="shared" si="1"/>
        <v>24.373375</v>
      </c>
      <c r="Q34" s="158"/>
      <c r="R34" s="59"/>
    </row>
    <row r="35" spans="1:144" s="198" customFormat="1" ht="12">
      <c r="A35" s="226" t="s">
        <v>206</v>
      </c>
      <c r="B35" s="204"/>
      <c r="C35" s="204"/>
      <c r="D35" s="204"/>
      <c r="E35" s="205"/>
      <c r="F35" s="206"/>
      <c r="G35" s="206"/>
      <c r="H35" s="218">
        <f>SUM(H19:H20)+SUM(H23:H34)</f>
        <v>273.55642666666665</v>
      </c>
      <c r="I35" s="218"/>
      <c r="J35" s="229"/>
      <c r="K35" s="230"/>
      <c r="L35" s="218">
        <f>SUM(L19:L20)+SUM(L23:L34)</f>
        <v>1367.43</v>
      </c>
      <c r="M35" s="252">
        <f>SUM(M19:M20)+SUM(M23:M34)</f>
        <v>24.099999999999994</v>
      </c>
      <c r="N35" s="218"/>
      <c r="O35" s="218">
        <f>SUM(O19:O20)+SUM(O23:O34)</f>
        <v>268.03999999999996</v>
      </c>
      <c r="P35" s="218">
        <f>SUM(P19:P20)+SUM(P23:P34)</f>
        <v>1909.0264266666666</v>
      </c>
      <c r="Q35" s="218">
        <f>Q15+P35</f>
        <v>2421.0249466666664</v>
      </c>
      <c r="R35" s="5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row>
    <row r="36" spans="1:18" ht="12">
      <c r="A36" s="13"/>
      <c r="B36" s="13"/>
      <c r="C36" s="13"/>
      <c r="D36" s="13"/>
      <c r="E36" s="181"/>
      <c r="F36" s="182"/>
      <c r="G36" s="182"/>
      <c r="H36" s="178"/>
      <c r="I36" s="183"/>
      <c r="J36" s="180"/>
      <c r="K36" s="181"/>
      <c r="L36" s="178"/>
      <c r="M36" s="182"/>
      <c r="N36" s="178"/>
      <c r="O36" s="178"/>
      <c r="P36" s="178"/>
      <c r="Q36" s="158"/>
      <c r="R36" s="59"/>
    </row>
    <row r="37" spans="1:18" ht="12">
      <c r="A37" s="187" t="s">
        <v>155</v>
      </c>
      <c r="B37" s="13"/>
      <c r="C37" s="13"/>
      <c r="D37" s="13"/>
      <c r="E37" s="181"/>
      <c r="F37" s="182"/>
      <c r="G37" s="182"/>
      <c r="H37" s="178"/>
      <c r="I37" s="183"/>
      <c r="J37" s="180"/>
      <c r="K37" s="181"/>
      <c r="L37" s="178"/>
      <c r="M37" s="182"/>
      <c r="N37" s="178"/>
      <c r="O37" s="178"/>
      <c r="P37" s="178"/>
      <c r="Q37" s="158"/>
      <c r="R37" s="59"/>
    </row>
    <row r="38" spans="1:18" ht="12">
      <c r="A38" s="13" t="s">
        <v>156</v>
      </c>
      <c r="B38" s="13" t="s">
        <v>157</v>
      </c>
      <c r="C38" s="13"/>
      <c r="D38" s="13"/>
      <c r="E38" s="181" t="s">
        <v>112</v>
      </c>
      <c r="F38" s="364">
        <v>6</v>
      </c>
      <c r="G38" s="182">
        <f>Machinery!U5</f>
        <v>13.88796</v>
      </c>
      <c r="H38" s="178">
        <f>G38*F38</f>
        <v>83.32776</v>
      </c>
      <c r="I38" s="183">
        <v>230</v>
      </c>
      <c r="J38" s="195">
        <v>1000</v>
      </c>
      <c r="K38" s="194">
        <v>15</v>
      </c>
      <c r="L38" s="178">
        <f>K38*I38</f>
        <v>3450</v>
      </c>
      <c r="M38" s="364">
        <v>30</v>
      </c>
      <c r="N38" s="178">
        <f>Assumptions!G$29</f>
        <v>10.6</v>
      </c>
      <c r="O38" s="178">
        <f>+N38*M38</f>
        <v>318</v>
      </c>
      <c r="P38" s="178">
        <f>O38+L38+H38</f>
        <v>3851.32776</v>
      </c>
      <c r="Q38" s="158"/>
      <c r="R38" s="59"/>
    </row>
    <row r="39" spans="1:18" ht="12">
      <c r="A39" s="13" t="s">
        <v>156</v>
      </c>
      <c r="B39" s="13" t="s">
        <v>214</v>
      </c>
      <c r="C39" s="13"/>
      <c r="D39" s="13" t="s">
        <v>2</v>
      </c>
      <c r="E39" s="181" t="s">
        <v>285</v>
      </c>
      <c r="F39" s="364">
        <v>9</v>
      </c>
      <c r="G39" s="246">
        <f>Machinery!U5+Machinery!V16</f>
        <v>26.816959999999998</v>
      </c>
      <c r="H39" s="178">
        <f>G39*F39</f>
        <v>241.35263999999998</v>
      </c>
      <c r="I39" s="183"/>
      <c r="J39" s="180"/>
      <c r="K39" s="189"/>
      <c r="L39" s="183"/>
      <c r="M39" s="182">
        <f>F39*1.2</f>
        <v>10.799999999999999</v>
      </c>
      <c r="N39" s="178">
        <f>Assumptions!G$29</f>
        <v>10.6</v>
      </c>
      <c r="O39" s="178">
        <f>+N39*M39</f>
        <v>114.47999999999999</v>
      </c>
      <c r="P39" s="178">
        <f>O39+L39+H39</f>
        <v>355.83263999999997</v>
      </c>
      <c r="Q39" s="158"/>
      <c r="R39" s="59"/>
    </row>
    <row r="40" spans="1:144" s="157" customFormat="1" ht="12">
      <c r="A40" s="207" t="s">
        <v>158</v>
      </c>
      <c r="B40" s="207"/>
      <c r="C40" s="207"/>
      <c r="D40" s="207"/>
      <c r="E40" s="208"/>
      <c r="F40" s="209"/>
      <c r="G40" s="209"/>
      <c r="H40" s="210">
        <f>SUM(H23:H39)-H35</f>
        <v>558.22534</v>
      </c>
      <c r="I40" s="210"/>
      <c r="J40" s="211"/>
      <c r="K40" s="223"/>
      <c r="L40" s="210">
        <f>SUM(L23:L39)-L35</f>
        <v>4817.43</v>
      </c>
      <c r="M40" s="240">
        <f>SUM(M23:M39)-M35</f>
        <v>61.89999999999999</v>
      </c>
      <c r="N40" s="210"/>
      <c r="O40" s="210">
        <f>SUM(O23:O39)-O35</f>
        <v>668.72</v>
      </c>
      <c r="P40" s="210">
        <f>SUM(P23:P39)-P35</f>
        <v>6044.37534</v>
      </c>
      <c r="Q40" s="210">
        <f>Q21+P40</f>
        <v>6628.185346666666</v>
      </c>
      <c r="R40" s="5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row>
    <row r="41" spans="1:18" ht="12">
      <c r="A41" s="136" t="s">
        <v>16</v>
      </c>
      <c r="B41" s="13"/>
      <c r="C41" s="13"/>
      <c r="D41" s="13"/>
      <c r="E41" s="181"/>
      <c r="F41" s="182"/>
      <c r="G41" s="182"/>
      <c r="H41" s="178" t="s">
        <v>2</v>
      </c>
      <c r="I41" s="178"/>
      <c r="J41" s="180"/>
      <c r="K41" s="181"/>
      <c r="L41" s="178"/>
      <c r="M41" s="182"/>
      <c r="N41" s="178"/>
      <c r="O41" s="178"/>
      <c r="P41" s="178"/>
      <c r="Q41" s="158"/>
      <c r="R41" s="59"/>
    </row>
    <row r="42" spans="1:18" ht="12">
      <c r="A42" s="13" t="s">
        <v>147</v>
      </c>
      <c r="B42" s="13" t="s">
        <v>159</v>
      </c>
      <c r="C42" s="13"/>
      <c r="D42" s="13"/>
      <c r="E42" s="181" t="s">
        <v>142</v>
      </c>
      <c r="F42" s="182"/>
      <c r="G42" s="182"/>
      <c r="H42" s="178"/>
      <c r="I42" s="366">
        <v>230</v>
      </c>
      <c r="J42" s="369">
        <v>1000</v>
      </c>
      <c r="K42" s="368">
        <v>0.3</v>
      </c>
      <c r="L42" s="178">
        <f>K42*I42</f>
        <v>69</v>
      </c>
      <c r="M42" s="364">
        <v>1.5</v>
      </c>
      <c r="N42" s="178">
        <f>Assumptions!G$29</f>
        <v>10.6</v>
      </c>
      <c r="O42" s="178">
        <f aca="true" t="shared" si="2" ref="O42:O47">+N42*M42</f>
        <v>15.899999999999999</v>
      </c>
      <c r="P42" s="178">
        <f aca="true" t="shared" si="3" ref="P42:P47">O42+L42+H42</f>
        <v>84.9</v>
      </c>
      <c r="Q42" s="158"/>
      <c r="R42" s="59"/>
    </row>
    <row r="43" spans="1:18" ht="12">
      <c r="A43" s="13" t="s">
        <v>147</v>
      </c>
      <c r="B43" s="13" t="s">
        <v>190</v>
      </c>
      <c r="C43" s="13"/>
      <c r="D43" s="13"/>
      <c r="E43" s="181" t="s">
        <v>215</v>
      </c>
      <c r="F43" s="364">
        <v>2</v>
      </c>
      <c r="G43" s="246">
        <f>Machinery!V17</f>
        <v>7.206266666666667</v>
      </c>
      <c r="H43" s="178">
        <f>G43*F43</f>
        <v>14.412533333333334</v>
      </c>
      <c r="I43" s="178"/>
      <c r="J43" s="180"/>
      <c r="K43" s="181"/>
      <c r="L43" s="178"/>
      <c r="M43" s="364">
        <v>0.2</v>
      </c>
      <c r="N43" s="178">
        <f>Assumptions!G$28</f>
        <v>14</v>
      </c>
      <c r="O43" s="178">
        <f t="shared" si="2"/>
        <v>2.8000000000000003</v>
      </c>
      <c r="P43" s="178">
        <f t="shared" si="3"/>
        <v>17.212533333333333</v>
      </c>
      <c r="Q43" s="158"/>
      <c r="R43" s="59"/>
    </row>
    <row r="44" spans="1:18" ht="12">
      <c r="A44" s="13" t="s">
        <v>143</v>
      </c>
      <c r="B44" s="13" t="s">
        <v>177</v>
      </c>
      <c r="C44" s="13"/>
      <c r="D44" s="13"/>
      <c r="E44" s="181" t="s">
        <v>283</v>
      </c>
      <c r="F44" s="364">
        <v>2</v>
      </c>
      <c r="G44" s="246">
        <f>Machinery!U15+Machinery!V17</f>
        <v>7.6348</v>
      </c>
      <c r="H44" s="178">
        <f>G44*F44</f>
        <v>15.2696</v>
      </c>
      <c r="I44" s="366">
        <v>125</v>
      </c>
      <c r="J44" s="369" t="s">
        <v>113</v>
      </c>
      <c r="K44" s="368">
        <v>0.5</v>
      </c>
      <c r="L44" s="178">
        <f>K44*I44</f>
        <v>62.5</v>
      </c>
      <c r="M44" s="364">
        <v>1</v>
      </c>
      <c r="N44" s="178">
        <f>Assumptions!G$28</f>
        <v>14</v>
      </c>
      <c r="O44" s="178">
        <f t="shared" si="2"/>
        <v>14</v>
      </c>
      <c r="P44" s="178">
        <f t="shared" si="3"/>
        <v>91.7696</v>
      </c>
      <c r="Q44" s="158"/>
      <c r="R44" s="59"/>
    </row>
    <row r="45" spans="1:18" ht="12">
      <c r="A45" s="13" t="s">
        <v>149</v>
      </c>
      <c r="B45" s="13" t="s">
        <v>235</v>
      </c>
      <c r="C45" s="13"/>
      <c r="D45" s="13"/>
      <c r="E45" s="6" t="s">
        <v>197</v>
      </c>
      <c r="F45" s="364">
        <v>0.65</v>
      </c>
      <c r="G45" s="182">
        <f>Machinery!U5+Machinery!U6</f>
        <v>20.65756</v>
      </c>
      <c r="H45" s="178">
        <f>G45*F45</f>
        <v>13.427414</v>
      </c>
      <c r="I45" s="366">
        <v>79.8</v>
      </c>
      <c r="J45" s="369" t="s">
        <v>26</v>
      </c>
      <c r="K45" s="368">
        <v>1</v>
      </c>
      <c r="L45" s="178">
        <f>+K45*I45</f>
        <v>79.8</v>
      </c>
      <c r="M45" s="182">
        <f>+F45*1.2</f>
        <v>0.78</v>
      </c>
      <c r="N45" s="178">
        <f>Assumptions!G$29</f>
        <v>10.6</v>
      </c>
      <c r="O45" s="178">
        <f t="shared" si="2"/>
        <v>8.268</v>
      </c>
      <c r="P45" s="178">
        <f t="shared" si="3"/>
        <v>101.495414</v>
      </c>
      <c r="Q45" s="158"/>
      <c r="R45" s="59"/>
    </row>
    <row r="46" spans="1:18" ht="12">
      <c r="A46" s="13" t="s">
        <v>149</v>
      </c>
      <c r="B46" s="13" t="s">
        <v>190</v>
      </c>
      <c r="C46" s="13"/>
      <c r="D46" s="13"/>
      <c r="E46" s="181" t="s">
        <v>215</v>
      </c>
      <c r="F46" s="364">
        <v>2</v>
      </c>
      <c r="G46" s="246">
        <f>Machinery!V17</f>
        <v>7.206266666666667</v>
      </c>
      <c r="H46" s="178">
        <f>G46*F46</f>
        <v>14.412533333333334</v>
      </c>
      <c r="I46" s="178"/>
      <c r="J46" s="180"/>
      <c r="K46" s="181"/>
      <c r="L46" s="178"/>
      <c r="M46" s="364">
        <v>0.2</v>
      </c>
      <c r="N46" s="178">
        <f>Assumptions!G$28</f>
        <v>14</v>
      </c>
      <c r="O46" s="178">
        <f t="shared" si="2"/>
        <v>2.8000000000000003</v>
      </c>
      <c r="P46" s="178">
        <f t="shared" si="3"/>
        <v>17.212533333333333</v>
      </c>
      <c r="Q46" s="158"/>
      <c r="R46" s="59"/>
    </row>
    <row r="47" spans="1:18" ht="12">
      <c r="A47" s="13" t="s">
        <v>156</v>
      </c>
      <c r="B47" s="13" t="s">
        <v>162</v>
      </c>
      <c r="C47" s="13"/>
      <c r="D47" s="13"/>
      <c r="E47" s="181" t="s">
        <v>142</v>
      </c>
      <c r="F47" s="182"/>
      <c r="G47" s="182"/>
      <c r="H47" s="178"/>
      <c r="I47" s="190"/>
      <c r="J47" s="180"/>
      <c r="K47" s="181"/>
      <c r="L47" s="178"/>
      <c r="M47" s="364">
        <v>2</v>
      </c>
      <c r="N47" s="178">
        <f>Assumptions!G$29</f>
        <v>10.6</v>
      </c>
      <c r="O47" s="178">
        <f t="shared" si="2"/>
        <v>21.2</v>
      </c>
      <c r="P47" s="178">
        <f t="shared" si="3"/>
        <v>21.2</v>
      </c>
      <c r="Q47" s="158"/>
      <c r="R47" s="59"/>
    </row>
    <row r="48" spans="1:144" s="157" customFormat="1" ht="12">
      <c r="A48" s="207" t="s">
        <v>163</v>
      </c>
      <c r="B48" s="207"/>
      <c r="C48" s="207"/>
      <c r="D48" s="207"/>
      <c r="E48" s="207"/>
      <c r="F48" s="207"/>
      <c r="G48" s="207"/>
      <c r="H48" s="210">
        <f>SUM(H42:H47)</f>
        <v>57.52208066666667</v>
      </c>
      <c r="I48" s="210"/>
      <c r="J48" s="207"/>
      <c r="K48" s="208"/>
      <c r="L48" s="210">
        <f>SUM(L42:L47)</f>
        <v>211.3</v>
      </c>
      <c r="M48" s="240">
        <f>SUM(M42:M47)</f>
        <v>5.680000000000001</v>
      </c>
      <c r="N48" s="207"/>
      <c r="O48" s="210">
        <f>SUM(O42:O47)</f>
        <v>64.968</v>
      </c>
      <c r="P48" s="210">
        <f>SUM(P42:P47)</f>
        <v>333.79008066666665</v>
      </c>
      <c r="Q48" s="210">
        <f>Q40+P48</f>
        <v>6961.975427333333</v>
      </c>
      <c r="R48" s="5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row>
    <row r="49" spans="1:18" ht="12">
      <c r="A49" s="136" t="s">
        <v>0</v>
      </c>
      <c r="B49" s="13"/>
      <c r="C49" s="13"/>
      <c r="D49" s="13"/>
      <c r="E49" s="181"/>
      <c r="F49" s="182"/>
      <c r="G49" s="182"/>
      <c r="H49" s="178" t="s">
        <v>2</v>
      </c>
      <c r="I49" s="178"/>
      <c r="J49" s="180"/>
      <c r="K49" s="181"/>
      <c r="L49" s="178"/>
      <c r="M49" s="182"/>
      <c r="N49" s="178"/>
      <c r="O49" s="178"/>
      <c r="P49" s="178"/>
      <c r="Q49" s="158"/>
      <c r="R49" s="59"/>
    </row>
    <row r="50" spans="1:18" ht="12">
      <c r="A50" s="13" t="s">
        <v>147</v>
      </c>
      <c r="B50" s="13" t="s">
        <v>286</v>
      </c>
      <c r="C50" s="13"/>
      <c r="D50" s="13"/>
      <c r="E50" s="6" t="s">
        <v>197</v>
      </c>
      <c r="F50" s="364">
        <v>0.65</v>
      </c>
      <c r="G50" s="182">
        <f>Machinery!U5+Machinery!U6</f>
        <v>20.65756</v>
      </c>
      <c r="H50" s="178">
        <f>G50*F50</f>
        <v>13.427414</v>
      </c>
      <c r="I50" s="183" t="s">
        <v>2</v>
      </c>
      <c r="J50" s="195" t="s">
        <v>2</v>
      </c>
      <c r="K50" s="194" t="s">
        <v>2</v>
      </c>
      <c r="L50" s="178"/>
      <c r="M50" s="182">
        <f>+F50*1.2</f>
        <v>0.78</v>
      </c>
      <c r="N50" s="178">
        <f>Assumptions!G$29</f>
        <v>10.6</v>
      </c>
      <c r="O50" s="178">
        <f>+N50*M50</f>
        <v>8.268</v>
      </c>
      <c r="P50" s="178">
        <f>O50+L50+H50</f>
        <v>21.695414</v>
      </c>
      <c r="Q50" s="158"/>
      <c r="R50" s="59"/>
    </row>
    <row r="51" spans="1:18" ht="12">
      <c r="A51" s="13" t="s">
        <v>2</v>
      </c>
      <c r="B51" s="13" t="s">
        <v>2</v>
      </c>
      <c r="C51" s="13" t="s">
        <v>351</v>
      </c>
      <c r="D51" s="13"/>
      <c r="E51" s="6" t="s">
        <v>2</v>
      </c>
      <c r="F51" s="182"/>
      <c r="G51" s="182"/>
      <c r="H51" s="178"/>
      <c r="I51" s="366">
        <v>8.4</v>
      </c>
      <c r="J51" s="369" t="s">
        <v>26</v>
      </c>
      <c r="K51" s="368">
        <v>3</v>
      </c>
      <c r="L51" s="178">
        <f>+K51*I51</f>
        <v>25.200000000000003</v>
      </c>
      <c r="M51" s="182" t="s">
        <v>2</v>
      </c>
      <c r="N51" s="178" t="s">
        <v>2</v>
      </c>
      <c r="O51" s="178"/>
      <c r="P51" s="178">
        <f>O51+L51+H51</f>
        <v>25.200000000000003</v>
      </c>
      <c r="Q51" s="158"/>
      <c r="R51" s="59"/>
    </row>
    <row r="52" spans="1:18" ht="12">
      <c r="A52" s="13"/>
      <c r="B52" s="13"/>
      <c r="C52" s="13" t="s">
        <v>171</v>
      </c>
      <c r="D52" s="13"/>
      <c r="E52" s="181"/>
      <c r="F52" s="182"/>
      <c r="G52" s="182"/>
      <c r="H52" s="178"/>
      <c r="I52" s="366">
        <v>46</v>
      </c>
      <c r="J52" s="369" t="s">
        <v>121</v>
      </c>
      <c r="K52" s="368">
        <v>2.5</v>
      </c>
      <c r="L52" s="243">
        <f>+K52*I52</f>
        <v>115</v>
      </c>
      <c r="M52" s="182"/>
      <c r="N52" s="178"/>
      <c r="O52" s="178"/>
      <c r="P52" s="178">
        <f>O52+L52+H52</f>
        <v>115</v>
      </c>
      <c r="Q52" s="158"/>
      <c r="R52" s="59"/>
    </row>
    <row r="53" spans="1:18" ht="12">
      <c r="A53" s="13"/>
      <c r="B53" s="13"/>
      <c r="C53" s="13" t="s">
        <v>236</v>
      </c>
      <c r="D53" s="13"/>
      <c r="E53" s="181"/>
      <c r="F53" s="182"/>
      <c r="G53" s="182"/>
      <c r="H53" s="178"/>
      <c r="I53" s="366">
        <v>5.25</v>
      </c>
      <c r="J53" s="369" t="s">
        <v>113</v>
      </c>
      <c r="K53" s="368">
        <v>1</v>
      </c>
      <c r="L53" s="243">
        <f>+K53*I53</f>
        <v>5.25</v>
      </c>
      <c r="M53" s="182"/>
      <c r="N53" s="178"/>
      <c r="O53" s="178"/>
      <c r="P53" s="178">
        <f>O53+L53+H53</f>
        <v>5.25</v>
      </c>
      <c r="Q53" s="158"/>
      <c r="R53" s="59"/>
    </row>
    <row r="54" spans="1:144" s="157" customFormat="1" ht="12">
      <c r="A54" s="207" t="s">
        <v>166</v>
      </c>
      <c r="B54" s="207"/>
      <c r="C54" s="207"/>
      <c r="D54" s="207"/>
      <c r="E54" s="208"/>
      <c r="F54" s="209"/>
      <c r="G54" s="209"/>
      <c r="H54" s="210">
        <f>SUM(H50:H53)</f>
        <v>13.427414</v>
      </c>
      <c r="I54" s="210"/>
      <c r="J54" s="211"/>
      <c r="K54" s="208"/>
      <c r="L54" s="210">
        <f>SUM(L50:L53)</f>
        <v>145.45</v>
      </c>
      <c r="M54" s="240">
        <f>SUM(M50:M53)</f>
        <v>0.78</v>
      </c>
      <c r="N54" s="210"/>
      <c r="O54" s="210">
        <f>SUM(O50:O53)</f>
        <v>8.268</v>
      </c>
      <c r="P54" s="210">
        <f>SUM(P50:P53)</f>
        <v>167.14541400000002</v>
      </c>
      <c r="Q54" s="210">
        <f>Q48+P54</f>
        <v>7129.1208413333325</v>
      </c>
      <c r="R54" s="5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row>
    <row r="55" spans="1:144" s="198" customFormat="1" ht="12">
      <c r="A55" s="226" t="s">
        <v>217</v>
      </c>
      <c r="B55" s="204"/>
      <c r="C55" s="204"/>
      <c r="D55" s="204"/>
      <c r="E55" s="205"/>
      <c r="F55" s="206"/>
      <c r="G55" s="206"/>
      <c r="H55" s="218">
        <f>SUM(H38:H54)-H40-H48-H54</f>
        <v>395.62989466666676</v>
      </c>
      <c r="I55" s="218"/>
      <c r="J55" s="229"/>
      <c r="K55" s="230"/>
      <c r="L55" s="218">
        <f>SUM(L38:L54)-L40-L48-L54</f>
        <v>3806.75</v>
      </c>
      <c r="M55" s="252">
        <f>SUM(M38:M54)-M40-M48-M54</f>
        <v>47.26000000000001</v>
      </c>
      <c r="N55" s="218"/>
      <c r="O55" s="218">
        <f>SUM(O38:O54)-O40-O48-O54</f>
        <v>505.71600000000024</v>
      </c>
      <c r="P55" s="218">
        <f>SUM(P38:P54)-P40-P48-P54</f>
        <v>4708.09589466667</v>
      </c>
      <c r="Q55" s="218">
        <f>Q35+P55</f>
        <v>7129.120841333336</v>
      </c>
      <c r="R55" s="5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row>
    <row r="56" spans="1:18" s="149" customFormat="1" ht="12">
      <c r="A56" s="227"/>
      <c r="E56" s="114"/>
      <c r="F56" s="115"/>
      <c r="G56" s="115"/>
      <c r="H56" s="116"/>
      <c r="I56" s="116"/>
      <c r="J56" s="113"/>
      <c r="K56" s="114"/>
      <c r="L56" s="116"/>
      <c r="M56" s="115"/>
      <c r="N56" s="116"/>
      <c r="O56" s="116"/>
      <c r="P56" s="116"/>
      <c r="Q56" s="228"/>
      <c r="R56" s="59"/>
    </row>
    <row r="57" spans="1:18" ht="12">
      <c r="A57" s="187" t="s">
        <v>167</v>
      </c>
      <c r="B57" s="13"/>
      <c r="C57" s="13"/>
      <c r="D57" s="13"/>
      <c r="E57" s="181"/>
      <c r="F57" s="182"/>
      <c r="G57" s="182"/>
      <c r="H57" s="178"/>
      <c r="I57" s="178"/>
      <c r="J57" s="180"/>
      <c r="K57" s="181"/>
      <c r="L57" s="178"/>
      <c r="M57" s="182"/>
      <c r="N57" s="178"/>
      <c r="O57" s="178"/>
      <c r="P57" s="188"/>
      <c r="Q57" s="186"/>
      <c r="R57" s="59"/>
    </row>
    <row r="58" spans="1:18" ht="12">
      <c r="A58" s="136" t="s">
        <v>1</v>
      </c>
      <c r="B58" s="13"/>
      <c r="C58" s="13"/>
      <c r="D58" s="13"/>
      <c r="E58" s="181"/>
      <c r="F58" s="182"/>
      <c r="G58" s="182"/>
      <c r="H58" s="178" t="s">
        <v>2</v>
      </c>
      <c r="I58" s="178"/>
      <c r="J58" s="180"/>
      <c r="K58" s="181"/>
      <c r="L58" s="178"/>
      <c r="M58" s="182"/>
      <c r="N58" s="178"/>
      <c r="O58" s="178"/>
      <c r="P58" s="178"/>
      <c r="Q58" s="158"/>
      <c r="R58" s="59"/>
    </row>
    <row r="59" spans="1:18" ht="12">
      <c r="A59" s="13" t="s">
        <v>147</v>
      </c>
      <c r="B59" s="13" t="s">
        <v>360</v>
      </c>
      <c r="C59" s="13"/>
      <c r="D59" s="13"/>
      <c r="E59" s="181" t="s">
        <v>142</v>
      </c>
      <c r="F59" s="182"/>
      <c r="G59" s="182"/>
      <c r="H59" s="178"/>
      <c r="I59" s="178"/>
      <c r="J59" s="180"/>
      <c r="K59" s="181"/>
      <c r="L59" s="178"/>
      <c r="M59" s="364">
        <v>24</v>
      </c>
      <c r="N59" s="178">
        <f>Assumptions!G$29</f>
        <v>10.6</v>
      </c>
      <c r="O59" s="178">
        <f>+N59*M59</f>
        <v>254.39999999999998</v>
      </c>
      <c r="P59" s="178">
        <f>O59+L59+H59</f>
        <v>254.39999999999998</v>
      </c>
      <c r="Q59" s="158"/>
      <c r="R59" s="59"/>
    </row>
    <row r="60" spans="1:18" ht="12">
      <c r="A60" s="13" t="s">
        <v>147</v>
      </c>
      <c r="B60" s="13" t="s">
        <v>237</v>
      </c>
      <c r="C60" s="13"/>
      <c r="D60" s="13"/>
      <c r="E60" s="6" t="s">
        <v>197</v>
      </c>
      <c r="F60" s="364">
        <v>0.65</v>
      </c>
      <c r="G60" s="182">
        <f>Machinery!U5+Machinery!U6</f>
        <v>20.65756</v>
      </c>
      <c r="H60" s="178">
        <f>G60*F60</f>
        <v>13.427414</v>
      </c>
      <c r="I60" s="366">
        <v>8.4</v>
      </c>
      <c r="J60" s="369" t="s">
        <v>26</v>
      </c>
      <c r="K60" s="368">
        <v>3</v>
      </c>
      <c r="L60" s="178">
        <f>+K60*I60</f>
        <v>25.200000000000003</v>
      </c>
      <c r="M60" s="182">
        <f>+F60*1.2</f>
        <v>0.78</v>
      </c>
      <c r="N60" s="178">
        <f>Assumptions!G$29</f>
        <v>10.6</v>
      </c>
      <c r="O60" s="178">
        <f>+N60*M60</f>
        <v>8.268</v>
      </c>
      <c r="P60" s="178">
        <f>O60+L60+H60</f>
        <v>46.895414</v>
      </c>
      <c r="Q60" s="158"/>
      <c r="R60" s="59"/>
    </row>
    <row r="61" spans="1:18" ht="12">
      <c r="A61" s="13" t="s">
        <v>143</v>
      </c>
      <c r="B61" s="13" t="s">
        <v>164</v>
      </c>
      <c r="C61" s="13"/>
      <c r="D61" s="13"/>
      <c r="E61" s="181" t="s">
        <v>142</v>
      </c>
      <c r="F61" s="185"/>
      <c r="G61" s="185"/>
      <c r="H61" s="178"/>
      <c r="I61" s="366">
        <v>0.26</v>
      </c>
      <c r="J61" s="369" t="s">
        <v>238</v>
      </c>
      <c r="K61" s="368">
        <v>4840</v>
      </c>
      <c r="L61" s="183">
        <f>K61*I61</f>
        <v>1258.4</v>
      </c>
      <c r="M61" s="364">
        <v>4</v>
      </c>
      <c r="N61" s="178">
        <f>Assumptions!G$29</f>
        <v>10.6</v>
      </c>
      <c r="O61" s="183">
        <f>+N61*M61</f>
        <v>42.4</v>
      </c>
      <c r="P61" s="178">
        <f>O61+L61+H61</f>
        <v>1300.8000000000002</v>
      </c>
      <c r="Q61" s="158"/>
      <c r="R61" s="59"/>
    </row>
    <row r="62" spans="1:18" ht="12">
      <c r="A62" s="13" t="s">
        <v>2</v>
      </c>
      <c r="B62" s="13" t="s">
        <v>165</v>
      </c>
      <c r="C62" s="13"/>
      <c r="D62" s="13"/>
      <c r="E62" s="181" t="s">
        <v>216</v>
      </c>
      <c r="F62" s="364">
        <v>0.108</v>
      </c>
      <c r="G62" s="182">
        <f>Machinery!U4</f>
        <v>7.897500000000001</v>
      </c>
      <c r="H62" s="178">
        <f>G62*F62</f>
        <v>0.8529300000000001</v>
      </c>
      <c r="I62" s="366">
        <v>0.1</v>
      </c>
      <c r="J62" s="369" t="s">
        <v>26</v>
      </c>
      <c r="K62" s="368">
        <v>500</v>
      </c>
      <c r="L62" s="178">
        <f>+(K62*I62)</f>
        <v>50</v>
      </c>
      <c r="M62" s="364">
        <v>2</v>
      </c>
      <c r="N62" s="178">
        <f>Assumptions!G$29</f>
        <v>10.6</v>
      </c>
      <c r="O62" s="178">
        <f>+N62*M62</f>
        <v>21.2</v>
      </c>
      <c r="P62" s="178">
        <f>O62+L62+H62</f>
        <v>72.05293</v>
      </c>
      <c r="Q62" s="158"/>
      <c r="R62" s="59"/>
    </row>
    <row r="63" spans="1:144" s="157" customFormat="1" ht="12">
      <c r="A63" s="207" t="s">
        <v>170</v>
      </c>
      <c r="B63" s="207"/>
      <c r="C63" s="207"/>
      <c r="D63" s="207"/>
      <c r="E63" s="208"/>
      <c r="F63" s="209"/>
      <c r="G63" s="209"/>
      <c r="H63" s="210">
        <f>SUM(H59:H62)</f>
        <v>14.280344000000001</v>
      </c>
      <c r="I63" s="210"/>
      <c r="J63" s="211"/>
      <c r="K63" s="208"/>
      <c r="L63" s="210">
        <f>SUM(L59:L62)</f>
        <v>1333.6000000000001</v>
      </c>
      <c r="M63" s="240">
        <f>SUM(M59:M62)</f>
        <v>30.78</v>
      </c>
      <c r="N63" s="210"/>
      <c r="O63" s="210">
        <f>SUM(O59:O62)</f>
        <v>326.268</v>
      </c>
      <c r="P63" s="210">
        <f>SUM(P59:P62)</f>
        <v>1674.1483440000002</v>
      </c>
      <c r="Q63" s="210">
        <f>Q54+P63</f>
        <v>8803.269185333333</v>
      </c>
      <c r="R63" s="5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row>
    <row r="64" spans="1:18" ht="12">
      <c r="A64" s="136" t="s">
        <v>28</v>
      </c>
      <c r="B64" s="13"/>
      <c r="C64" s="13"/>
      <c r="D64" s="13"/>
      <c r="E64" s="181"/>
      <c r="F64" s="182"/>
      <c r="G64" s="182"/>
      <c r="H64" s="178" t="s">
        <v>2</v>
      </c>
      <c r="I64" s="178"/>
      <c r="J64" s="180"/>
      <c r="K64" s="181"/>
      <c r="L64" s="178"/>
      <c r="M64" s="182"/>
      <c r="N64" s="178"/>
      <c r="O64" s="178"/>
      <c r="P64" s="178"/>
      <c r="Q64" s="158"/>
      <c r="R64" s="59"/>
    </row>
    <row r="65" spans="1:18" ht="12">
      <c r="A65" s="13" t="s">
        <v>149</v>
      </c>
      <c r="B65" s="13" t="s">
        <v>168</v>
      </c>
      <c r="C65" s="13"/>
      <c r="D65" s="13"/>
      <c r="E65" s="181" t="s">
        <v>142</v>
      </c>
      <c r="F65" s="182"/>
      <c r="G65" s="182"/>
      <c r="H65" s="178"/>
      <c r="I65" s="178"/>
      <c r="J65" s="180"/>
      <c r="K65" s="181"/>
      <c r="L65" s="178"/>
      <c r="M65" s="364">
        <v>6</v>
      </c>
      <c r="N65" s="178">
        <f>Assumptions!G$29</f>
        <v>10.6</v>
      </c>
      <c r="O65" s="178">
        <f>+N65*M65</f>
        <v>63.599999999999994</v>
      </c>
      <c r="P65" s="178">
        <f>O65+L65+H65</f>
        <v>63.599999999999994</v>
      </c>
      <c r="Q65" s="158"/>
      <c r="R65" s="59"/>
    </row>
    <row r="66" spans="1:18" ht="12">
      <c r="A66" s="13" t="s">
        <v>156</v>
      </c>
      <c r="B66" s="13" t="s">
        <v>239</v>
      </c>
      <c r="C66" s="13"/>
      <c r="D66" s="13"/>
      <c r="E66" s="181" t="s">
        <v>142</v>
      </c>
      <c r="F66" s="182"/>
      <c r="G66" s="182"/>
      <c r="H66" s="178"/>
      <c r="I66" s="178"/>
      <c r="J66" s="180"/>
      <c r="K66" s="181"/>
      <c r="L66" s="178"/>
      <c r="M66" s="364">
        <v>40</v>
      </c>
      <c r="N66" s="178">
        <f>Assumptions!G$29</f>
        <v>10.6</v>
      </c>
      <c r="O66" s="178">
        <f>+N66*M66</f>
        <v>424</v>
      </c>
      <c r="P66" s="178">
        <f>O66+L66+H66</f>
        <v>424</v>
      </c>
      <c r="Q66" s="158"/>
      <c r="R66" s="59"/>
    </row>
    <row r="67" spans="1:144" s="157" customFormat="1" ht="12">
      <c r="A67" s="207" t="s">
        <v>172</v>
      </c>
      <c r="B67" s="207"/>
      <c r="C67" s="207"/>
      <c r="D67" s="207"/>
      <c r="E67" s="207"/>
      <c r="F67" s="207"/>
      <c r="G67" s="207"/>
      <c r="H67" s="210">
        <f>SUM(H65:H66)</f>
        <v>0</v>
      </c>
      <c r="I67" s="210"/>
      <c r="J67" s="207"/>
      <c r="K67" s="208"/>
      <c r="L67" s="210">
        <f>SUM(L65:L66)</f>
        <v>0</v>
      </c>
      <c r="M67" s="240">
        <f>SUM(M65:M66)</f>
        <v>46</v>
      </c>
      <c r="N67" s="207"/>
      <c r="O67" s="210">
        <f>SUM(O65:O66)</f>
        <v>487.6</v>
      </c>
      <c r="P67" s="210">
        <f>SUM(P65:P66)</f>
        <v>487.6</v>
      </c>
      <c r="Q67" s="210">
        <f>Q63+P67</f>
        <v>9290.869185333333</v>
      </c>
      <c r="R67" s="5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row>
    <row r="68" spans="1:18" ht="12">
      <c r="A68" s="136" t="s">
        <v>27</v>
      </c>
      <c r="B68" s="13"/>
      <c r="C68" s="13"/>
      <c r="D68" s="13"/>
      <c r="E68" s="181"/>
      <c r="F68" s="182"/>
      <c r="G68" s="182"/>
      <c r="H68" s="178"/>
      <c r="I68" s="178"/>
      <c r="J68" s="180"/>
      <c r="K68" s="181"/>
      <c r="L68" s="178"/>
      <c r="M68" s="182"/>
      <c r="N68" s="178"/>
      <c r="O68" s="178"/>
      <c r="P68" s="178"/>
      <c r="Q68" s="158"/>
      <c r="R68" s="59"/>
    </row>
    <row r="69" spans="1:18" ht="12">
      <c r="A69" s="13" t="s">
        <v>143</v>
      </c>
      <c r="B69" s="13" t="s">
        <v>173</v>
      </c>
      <c r="C69" s="13"/>
      <c r="D69" s="13"/>
      <c r="E69" s="181"/>
      <c r="F69" s="182"/>
      <c r="G69" s="182"/>
      <c r="H69" s="178"/>
      <c r="I69" s="178"/>
      <c r="J69" s="180"/>
      <c r="K69" s="181"/>
      <c r="L69" s="178"/>
      <c r="M69" s="364">
        <v>1</v>
      </c>
      <c r="N69" s="178">
        <f>Assumptions!G$28</f>
        <v>14</v>
      </c>
      <c r="O69" s="178">
        <f>+M69*N69</f>
        <v>14</v>
      </c>
      <c r="P69" s="178">
        <f>O69+L69+H69</f>
        <v>14</v>
      </c>
      <c r="Q69" s="158"/>
      <c r="R69" s="59"/>
    </row>
    <row r="70" spans="1:18" s="149" customFormat="1" ht="12">
      <c r="A70" s="247" t="s">
        <v>143</v>
      </c>
      <c r="B70" s="247" t="s">
        <v>184</v>
      </c>
      <c r="C70" s="247"/>
      <c r="D70" s="247"/>
      <c r="E70" s="247" t="s">
        <v>142</v>
      </c>
      <c r="F70" s="247"/>
      <c r="G70" s="247"/>
      <c r="H70" s="248"/>
      <c r="I70" s="248"/>
      <c r="J70" s="247"/>
      <c r="K70" s="249"/>
      <c r="L70" s="248"/>
      <c r="M70" s="364">
        <v>6</v>
      </c>
      <c r="N70" s="178">
        <f>Assumptions!G$29</f>
        <v>10.6</v>
      </c>
      <c r="O70" s="178">
        <f>+M70*N70</f>
        <v>63.599999999999994</v>
      </c>
      <c r="P70" s="178">
        <f>O70+L70+H70</f>
        <v>63.599999999999994</v>
      </c>
      <c r="Q70" s="248"/>
      <c r="R70" s="140"/>
    </row>
    <row r="71" spans="1:144" s="198" customFormat="1" ht="12">
      <c r="A71" s="226" t="s">
        <v>218</v>
      </c>
      <c r="B71" s="204"/>
      <c r="C71" s="204"/>
      <c r="D71" s="204"/>
      <c r="E71" s="205"/>
      <c r="F71" s="206"/>
      <c r="G71" s="206"/>
      <c r="H71" s="218">
        <f>SUM(H59:H70)-H63-H67</f>
        <v>14.280344000000001</v>
      </c>
      <c r="I71" s="218"/>
      <c r="J71" s="229"/>
      <c r="K71" s="230"/>
      <c r="L71" s="218">
        <f>SUM(L59:L70)-L63-L67</f>
        <v>1333.6000000000001</v>
      </c>
      <c r="M71" s="252">
        <f>SUM(M59:M70)-M63-M67</f>
        <v>83.78</v>
      </c>
      <c r="N71" s="218"/>
      <c r="O71" s="218">
        <f>SUM(O59:O70)-O63-O67</f>
        <v>891.4679999999997</v>
      </c>
      <c r="P71" s="218">
        <f>SUM(P59:P70)-P63-P67</f>
        <v>2239.3483440000005</v>
      </c>
      <c r="Q71" s="218">
        <f>Q55+P71</f>
        <v>9368.469185333337</v>
      </c>
      <c r="R71" s="5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row>
    <row r="72" spans="8:18" s="149" customFormat="1" ht="12">
      <c r="H72" s="116"/>
      <c r="I72" s="116"/>
      <c r="K72" s="114"/>
      <c r="L72" s="116"/>
      <c r="O72" s="116"/>
      <c r="P72" s="231"/>
      <c r="Q72" s="116"/>
      <c r="R72" s="59"/>
    </row>
    <row r="73" spans="1:18" ht="12">
      <c r="A73" s="187" t="s">
        <v>174</v>
      </c>
      <c r="B73" s="13"/>
      <c r="C73" s="13"/>
      <c r="D73" s="13"/>
      <c r="E73" s="181"/>
      <c r="F73" s="182"/>
      <c r="G73" s="182"/>
      <c r="H73" s="178"/>
      <c r="I73" s="178"/>
      <c r="J73" s="180"/>
      <c r="K73" s="181"/>
      <c r="L73" s="178"/>
      <c r="M73" s="182"/>
      <c r="N73" s="178"/>
      <c r="O73" s="178"/>
      <c r="P73" s="178"/>
      <c r="Q73" s="158"/>
      <c r="R73" s="59"/>
    </row>
    <row r="74" spans="1:18" ht="12">
      <c r="A74" s="13" t="s">
        <v>149</v>
      </c>
      <c r="B74" s="13" t="s">
        <v>175</v>
      </c>
      <c r="C74" s="13"/>
      <c r="D74" s="13"/>
      <c r="E74" s="181" t="s">
        <v>142</v>
      </c>
      <c r="F74" s="182"/>
      <c r="G74" s="182"/>
      <c r="H74" s="178"/>
      <c r="I74" s="178"/>
      <c r="J74" s="180"/>
      <c r="K74" s="181"/>
      <c r="L74" s="178"/>
      <c r="M74" s="364">
        <v>15</v>
      </c>
      <c r="N74" s="178">
        <f>Assumptions!G$29</f>
        <v>10.6</v>
      </c>
      <c r="O74" s="178">
        <f>+N74*M74</f>
        <v>159</v>
      </c>
      <c r="P74" s="178">
        <f aca="true" t="shared" si="4" ref="P74:P88">O74+L74+H74</f>
        <v>159</v>
      </c>
      <c r="Q74" s="158"/>
      <c r="R74" s="59"/>
    </row>
    <row r="75" spans="1:18" ht="12">
      <c r="A75" s="13" t="s">
        <v>149</v>
      </c>
      <c r="B75" s="13" t="s">
        <v>219</v>
      </c>
      <c r="C75" s="13"/>
      <c r="D75" s="13"/>
      <c r="E75" s="6" t="s">
        <v>197</v>
      </c>
      <c r="F75" s="364">
        <v>0.65</v>
      </c>
      <c r="G75" s="182">
        <f>Machinery!U5+Machinery!U6</f>
        <v>20.65756</v>
      </c>
      <c r="H75" s="178">
        <f>G75*F75</f>
        <v>13.427414</v>
      </c>
      <c r="I75" s="33"/>
      <c r="J75"/>
      <c r="K75" s="5"/>
      <c r="L75"/>
      <c r="M75" s="182">
        <f>+F75*1.2</f>
        <v>0.78</v>
      </c>
      <c r="N75" s="178">
        <f>Assumptions!G$29</f>
        <v>10.6</v>
      </c>
      <c r="O75" s="178">
        <f>+N75*M75</f>
        <v>8.268</v>
      </c>
      <c r="P75" s="178">
        <f t="shared" si="4"/>
        <v>21.695414</v>
      </c>
      <c r="Q75" s="158"/>
      <c r="R75" s="59"/>
    </row>
    <row r="76" spans="1:18" ht="12">
      <c r="A76" s="13"/>
      <c r="B76" s="13"/>
      <c r="C76" s="13" t="s">
        <v>240</v>
      </c>
      <c r="D76" s="13"/>
      <c r="E76" s="181"/>
      <c r="F76" s="182"/>
      <c r="G76" s="182"/>
      <c r="H76" s="178"/>
      <c r="I76" s="366">
        <v>14.1</v>
      </c>
      <c r="J76" s="369" t="s">
        <v>113</v>
      </c>
      <c r="K76" s="368">
        <v>1.5</v>
      </c>
      <c r="L76" s="178">
        <f>+K76*I76</f>
        <v>21.15</v>
      </c>
      <c r="M76" s="182"/>
      <c r="N76" s="178"/>
      <c r="O76" s="178"/>
      <c r="P76" s="178">
        <f t="shared" si="4"/>
        <v>21.15</v>
      </c>
      <c r="Q76" s="158"/>
      <c r="R76" s="59"/>
    </row>
    <row r="77" spans="1:18" ht="12">
      <c r="A77" s="13"/>
      <c r="B77" s="13"/>
      <c r="C77" s="250" t="s">
        <v>241</v>
      </c>
      <c r="D77" s="13"/>
      <c r="E77" s="181"/>
      <c r="F77" s="182"/>
      <c r="G77" s="182"/>
      <c r="H77" s="178"/>
      <c r="I77" s="366">
        <v>8.75</v>
      </c>
      <c r="J77" s="369" t="s">
        <v>138</v>
      </c>
      <c r="K77" s="368">
        <v>1</v>
      </c>
      <c r="L77" s="178">
        <f>+K77*I77</f>
        <v>8.75</v>
      </c>
      <c r="M77" s="182"/>
      <c r="N77" s="178"/>
      <c r="O77" s="178"/>
      <c r="P77" s="178">
        <f t="shared" si="4"/>
        <v>8.75</v>
      </c>
      <c r="Q77" s="158"/>
      <c r="R77" s="59"/>
    </row>
    <row r="78" spans="1:18" ht="12">
      <c r="A78" s="13" t="s">
        <v>149</v>
      </c>
      <c r="B78" s="13" t="s">
        <v>173</v>
      </c>
      <c r="C78" s="13"/>
      <c r="D78" s="13"/>
      <c r="E78" s="181"/>
      <c r="F78" s="182"/>
      <c r="G78" s="182"/>
      <c r="H78" s="178"/>
      <c r="I78" s="178"/>
      <c r="J78" s="180"/>
      <c r="K78" s="181"/>
      <c r="L78" s="178"/>
      <c r="M78" s="364">
        <v>1</v>
      </c>
      <c r="N78" s="178">
        <f>Assumptions!G$28</f>
        <v>14</v>
      </c>
      <c r="O78" s="178">
        <f>+M78*N78</f>
        <v>14</v>
      </c>
      <c r="P78" s="178">
        <f t="shared" si="4"/>
        <v>14</v>
      </c>
      <c r="Q78" s="158"/>
      <c r="R78" s="59"/>
    </row>
    <row r="79" spans="1:18" ht="12">
      <c r="A79" s="13" t="s">
        <v>149</v>
      </c>
      <c r="B79" s="13" t="s">
        <v>242</v>
      </c>
      <c r="C79" s="13"/>
      <c r="D79" s="13"/>
      <c r="E79" s="6" t="s">
        <v>142</v>
      </c>
      <c r="F79" s="246"/>
      <c r="G79" s="182"/>
      <c r="H79" s="178"/>
      <c r="I79" s="183"/>
      <c r="J79" s="195"/>
      <c r="K79" s="194"/>
      <c r="L79" s="178"/>
      <c r="M79" s="364">
        <v>6</v>
      </c>
      <c r="N79" s="178">
        <f>Assumptions!G$29</f>
        <v>10.6</v>
      </c>
      <c r="O79" s="178">
        <f>+M79*N79</f>
        <v>63.599999999999994</v>
      </c>
      <c r="P79" s="178">
        <f t="shared" si="4"/>
        <v>63.599999999999994</v>
      </c>
      <c r="Q79" s="158"/>
      <c r="R79" s="59"/>
    </row>
    <row r="80" spans="1:18" ht="12">
      <c r="A80" s="13" t="s">
        <v>149</v>
      </c>
      <c r="B80" s="13" t="s">
        <v>362</v>
      </c>
      <c r="C80" s="13"/>
      <c r="D80" s="13"/>
      <c r="E80" s="6" t="s">
        <v>197</v>
      </c>
      <c r="F80" s="364">
        <v>0.65</v>
      </c>
      <c r="G80" s="182">
        <f>Machinery!U5+Machinery!U6</f>
        <v>20.65756</v>
      </c>
      <c r="H80" s="178">
        <f>G80*F80</f>
        <v>13.427414</v>
      </c>
      <c r="I80" s="178"/>
      <c r="J80" s="180"/>
      <c r="K80" s="181"/>
      <c r="L80" s="178"/>
      <c r="M80" s="182">
        <f>+F80*1.2</f>
        <v>0.78</v>
      </c>
      <c r="N80" s="178">
        <f>Assumptions!G$29</f>
        <v>10.6</v>
      </c>
      <c r="O80" s="178">
        <f>+N80*M80</f>
        <v>8.268</v>
      </c>
      <c r="P80" s="178">
        <f t="shared" si="4"/>
        <v>21.695414</v>
      </c>
      <c r="Q80" s="158"/>
      <c r="R80" s="59"/>
    </row>
    <row r="81" spans="1:18" ht="12">
      <c r="A81" s="13"/>
      <c r="B81" s="13"/>
      <c r="C81" s="13" t="s">
        <v>287</v>
      </c>
      <c r="D81" s="13"/>
      <c r="E81" s="6"/>
      <c r="F81" s="246"/>
      <c r="G81" s="182"/>
      <c r="H81" s="178"/>
      <c r="I81" s="366">
        <v>22.92</v>
      </c>
      <c r="J81" s="369" t="s">
        <v>35</v>
      </c>
      <c r="K81" s="368">
        <v>7</v>
      </c>
      <c r="L81" s="178">
        <f>+K81*I81</f>
        <v>160.44</v>
      </c>
      <c r="M81" s="182"/>
      <c r="N81" s="178"/>
      <c r="O81" s="178"/>
      <c r="P81" s="178">
        <f t="shared" si="4"/>
        <v>160.44</v>
      </c>
      <c r="Q81" s="158"/>
      <c r="R81" s="59"/>
    </row>
    <row r="82" spans="1:18" ht="12">
      <c r="A82" s="13"/>
      <c r="B82" s="13"/>
      <c r="C82" s="13" t="s">
        <v>361</v>
      </c>
      <c r="D82" s="13"/>
      <c r="E82" s="6"/>
      <c r="F82" s="246"/>
      <c r="G82" s="182"/>
      <c r="H82" s="178"/>
      <c r="I82" s="366">
        <v>14</v>
      </c>
      <c r="J82" s="369" t="s">
        <v>26</v>
      </c>
      <c r="K82" s="368">
        <v>2</v>
      </c>
      <c r="L82" s="178">
        <f>+K82*I82</f>
        <v>28</v>
      </c>
      <c r="M82" s="182"/>
      <c r="N82" s="178"/>
      <c r="O82" s="178"/>
      <c r="P82" s="178">
        <f t="shared" si="4"/>
        <v>28</v>
      </c>
      <c r="Q82" s="158"/>
      <c r="R82" s="59"/>
    </row>
    <row r="83" spans="1:18" ht="12">
      <c r="A83" s="13"/>
      <c r="B83" s="13"/>
      <c r="C83" s="13" t="s">
        <v>171</v>
      </c>
      <c r="D83" s="13"/>
      <c r="E83" s="181"/>
      <c r="F83" s="182"/>
      <c r="G83" s="182"/>
      <c r="H83" s="178"/>
      <c r="I83" s="366">
        <v>46</v>
      </c>
      <c r="J83" s="369" t="s">
        <v>121</v>
      </c>
      <c r="K83" s="368">
        <v>2.5</v>
      </c>
      <c r="L83" s="243">
        <f>+K83*I83</f>
        <v>115</v>
      </c>
      <c r="M83" s="182"/>
      <c r="N83" s="178"/>
      <c r="O83" s="178"/>
      <c r="P83" s="178">
        <f t="shared" si="4"/>
        <v>115</v>
      </c>
      <c r="Q83" s="158"/>
      <c r="R83" s="59"/>
    </row>
    <row r="84" spans="1:18" ht="12">
      <c r="A84" s="13"/>
      <c r="B84" s="13"/>
      <c r="C84" s="13" t="s">
        <v>236</v>
      </c>
      <c r="D84" s="13"/>
      <c r="E84" s="181"/>
      <c r="F84" s="182"/>
      <c r="G84" s="182"/>
      <c r="H84" s="178"/>
      <c r="I84" s="366">
        <v>5.25</v>
      </c>
      <c r="J84" s="369" t="s">
        <v>113</v>
      </c>
      <c r="K84" s="368">
        <v>1</v>
      </c>
      <c r="L84" s="243">
        <f>+K84*I84</f>
        <v>5.25</v>
      </c>
      <c r="M84" s="182"/>
      <c r="N84" s="178"/>
      <c r="O84" s="178"/>
      <c r="P84" s="178">
        <f t="shared" si="4"/>
        <v>5.25</v>
      </c>
      <c r="Q84" s="158"/>
      <c r="R84" s="59"/>
    </row>
    <row r="85" spans="1:18" ht="12">
      <c r="A85" s="13" t="s">
        <v>156</v>
      </c>
      <c r="B85" s="13" t="s">
        <v>176</v>
      </c>
      <c r="C85" s="13"/>
      <c r="D85" s="13"/>
      <c r="E85" s="181" t="s">
        <v>142</v>
      </c>
      <c r="F85" s="182"/>
      <c r="G85" s="182"/>
      <c r="H85" s="178"/>
      <c r="I85" s="178"/>
      <c r="J85" s="180"/>
      <c r="K85" s="181"/>
      <c r="L85" s="178"/>
      <c r="M85" s="364">
        <v>6</v>
      </c>
      <c r="N85" s="178">
        <f>Assumptions!G$29</f>
        <v>10.6</v>
      </c>
      <c r="O85" s="178">
        <f>+N85*M85</f>
        <v>63.599999999999994</v>
      </c>
      <c r="P85" s="178">
        <f t="shared" si="4"/>
        <v>63.599999999999994</v>
      </c>
      <c r="Q85" s="158"/>
      <c r="R85" s="59"/>
    </row>
    <row r="86" spans="1:18" ht="12">
      <c r="A86" s="13" t="s">
        <v>156</v>
      </c>
      <c r="B86" s="13" t="s">
        <v>177</v>
      </c>
      <c r="C86" s="13"/>
      <c r="D86" s="13"/>
      <c r="E86" s="181" t="s">
        <v>283</v>
      </c>
      <c r="F86" s="364">
        <v>2</v>
      </c>
      <c r="G86" s="246">
        <f>Machinery!U15+Machinery!V17</f>
        <v>7.6348</v>
      </c>
      <c r="H86" s="178">
        <f>G86*F86</f>
        <v>15.2696</v>
      </c>
      <c r="I86" s="366">
        <v>125</v>
      </c>
      <c r="J86" s="369" t="s">
        <v>113</v>
      </c>
      <c r="K86" s="368">
        <v>0.5</v>
      </c>
      <c r="L86" s="243">
        <f>+K86*I86</f>
        <v>62.5</v>
      </c>
      <c r="M86" s="364">
        <v>1</v>
      </c>
      <c r="N86" s="178">
        <f>Assumptions!G$28</f>
        <v>14</v>
      </c>
      <c r="O86" s="178">
        <f>+N86*M86</f>
        <v>14</v>
      </c>
      <c r="P86" s="178">
        <f t="shared" si="4"/>
        <v>91.7696</v>
      </c>
      <c r="Q86" s="158"/>
      <c r="R86" s="59"/>
    </row>
    <row r="87" spans="1:18" ht="12">
      <c r="A87" s="13" t="s">
        <v>156</v>
      </c>
      <c r="B87" s="13" t="s">
        <v>178</v>
      </c>
      <c r="C87" s="13"/>
      <c r="D87" s="13"/>
      <c r="E87" s="181" t="s">
        <v>142</v>
      </c>
      <c r="F87" s="182"/>
      <c r="G87" s="182"/>
      <c r="H87" s="178"/>
      <c r="I87" s="178"/>
      <c r="J87" s="180"/>
      <c r="K87" s="181"/>
      <c r="L87" s="178"/>
      <c r="M87" s="364">
        <v>0.5</v>
      </c>
      <c r="N87" s="178">
        <f>Assumptions!G$28</f>
        <v>14</v>
      </c>
      <c r="O87" s="178">
        <f>+N87*M87</f>
        <v>7</v>
      </c>
      <c r="P87" s="178">
        <f t="shared" si="4"/>
        <v>7</v>
      </c>
      <c r="Q87" s="158"/>
      <c r="R87" s="59"/>
    </row>
    <row r="88" spans="1:18" ht="12">
      <c r="A88" s="13" t="s">
        <v>156</v>
      </c>
      <c r="B88" s="13" t="s">
        <v>179</v>
      </c>
      <c r="C88" s="13"/>
      <c r="D88" s="13"/>
      <c r="E88" s="181"/>
      <c r="F88" s="182"/>
      <c r="G88" s="182"/>
      <c r="H88" s="178"/>
      <c r="I88" s="178"/>
      <c r="J88" s="180"/>
      <c r="K88" s="181"/>
      <c r="L88" s="178"/>
      <c r="M88" s="364">
        <v>1</v>
      </c>
      <c r="N88" s="178">
        <f>Assumptions!G$28</f>
        <v>14</v>
      </c>
      <c r="O88" s="178">
        <f>+M88*N88</f>
        <v>14</v>
      </c>
      <c r="P88" s="178">
        <f t="shared" si="4"/>
        <v>14</v>
      </c>
      <c r="Q88" s="186" t="s">
        <v>2</v>
      </c>
      <c r="R88" s="59"/>
    </row>
    <row r="89" spans="1:144" s="157" customFormat="1" ht="12">
      <c r="A89" s="207" t="s">
        <v>180</v>
      </c>
      <c r="B89" s="207"/>
      <c r="C89" s="207"/>
      <c r="D89" s="207"/>
      <c r="E89" s="208"/>
      <c r="F89" s="209"/>
      <c r="G89" s="209"/>
      <c r="H89" s="210">
        <f>SUM(H74:H88)+SUM(H69:H70)</f>
        <v>42.124428</v>
      </c>
      <c r="I89" s="224"/>
      <c r="J89" s="211"/>
      <c r="K89" s="208"/>
      <c r="L89" s="210">
        <f>SUM(L74:L88)+SUM(L69:L70)</f>
        <v>401.09000000000003</v>
      </c>
      <c r="M89" s="240">
        <f>SUM(M74:M88)+SUM(M69:M70)</f>
        <v>39.06</v>
      </c>
      <c r="N89" s="210"/>
      <c r="O89" s="210">
        <f>SUM(O74:O88)+SUM(O69:O70)</f>
        <v>429.336</v>
      </c>
      <c r="P89" s="210">
        <f>SUM(P74:P88)+SUM(P69:P70)</f>
        <v>872.5504280000001</v>
      </c>
      <c r="Q89" s="210">
        <f>Q67+P89</f>
        <v>10163.419613333333</v>
      </c>
      <c r="R89" s="5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row>
    <row r="90" spans="1:18" ht="12">
      <c r="A90" s="136" t="s">
        <v>29</v>
      </c>
      <c r="B90" s="13"/>
      <c r="C90" s="13"/>
      <c r="D90" s="13"/>
      <c r="E90" s="181"/>
      <c r="F90" s="182"/>
      <c r="G90" s="182"/>
      <c r="H90" s="178" t="s">
        <v>2</v>
      </c>
      <c r="I90" s="178"/>
      <c r="J90" s="180"/>
      <c r="K90" s="181"/>
      <c r="L90" s="178"/>
      <c r="M90" s="182"/>
      <c r="N90" s="178"/>
      <c r="O90" s="178"/>
      <c r="P90" s="178"/>
      <c r="Q90" s="186"/>
      <c r="R90" s="59"/>
    </row>
    <row r="91" spans="1:18" ht="12">
      <c r="A91" s="13" t="s">
        <v>147</v>
      </c>
      <c r="B91" s="13" t="s">
        <v>160</v>
      </c>
      <c r="C91" s="13"/>
      <c r="D91" s="13"/>
      <c r="E91" s="181" t="s">
        <v>142</v>
      </c>
      <c r="F91" s="182"/>
      <c r="G91" s="182"/>
      <c r="H91" s="178"/>
      <c r="I91" s="366">
        <v>7</v>
      </c>
      <c r="J91" s="369" t="s">
        <v>161</v>
      </c>
      <c r="K91" s="368">
        <v>1</v>
      </c>
      <c r="L91" s="178">
        <f>+K91*I91</f>
        <v>7</v>
      </c>
      <c r="M91" s="364">
        <v>0.5</v>
      </c>
      <c r="N91" s="178">
        <f>Assumptions!G$29</f>
        <v>10.6</v>
      </c>
      <c r="O91" s="178">
        <f>+N91*M91</f>
        <v>5.3</v>
      </c>
      <c r="P91" s="178">
        <f aca="true" t="shared" si="5" ref="P91:P122">O91+L91+H91</f>
        <v>12.3</v>
      </c>
      <c r="Q91" s="158"/>
      <c r="R91" s="59"/>
    </row>
    <row r="92" spans="1:18" ht="12">
      <c r="A92" s="13" t="s">
        <v>147</v>
      </c>
      <c r="B92" s="13" t="s">
        <v>181</v>
      </c>
      <c r="C92" s="13"/>
      <c r="D92" s="13"/>
      <c r="E92" s="181" t="s">
        <v>142</v>
      </c>
      <c r="F92" s="182"/>
      <c r="G92" s="182"/>
      <c r="H92" s="178"/>
      <c r="I92" s="178"/>
      <c r="J92" s="180"/>
      <c r="K92" s="181"/>
      <c r="L92" s="178"/>
      <c r="M92" s="364">
        <v>10</v>
      </c>
      <c r="N92" s="178">
        <f>Assumptions!G$29</f>
        <v>10.6</v>
      </c>
      <c r="O92" s="178">
        <f>+N92*M92</f>
        <v>106</v>
      </c>
      <c r="P92" s="178">
        <f t="shared" si="5"/>
        <v>106</v>
      </c>
      <c r="Q92" s="158"/>
      <c r="R92" s="59"/>
    </row>
    <row r="93" spans="1:18" ht="12">
      <c r="A93" s="13" t="s">
        <v>147</v>
      </c>
      <c r="B93" s="13" t="s">
        <v>182</v>
      </c>
      <c r="C93" s="13"/>
      <c r="D93" s="13"/>
      <c r="E93" s="181" t="s">
        <v>283</v>
      </c>
      <c r="F93" s="364">
        <v>2</v>
      </c>
      <c r="G93" s="246">
        <f>Machinery!U15+Machinery!V17</f>
        <v>7.6348</v>
      </c>
      <c r="H93" s="178">
        <f>G93*F93</f>
        <v>15.2696</v>
      </c>
      <c r="I93" s="183"/>
      <c r="J93" s="180" t="s">
        <v>2</v>
      </c>
      <c r="K93" s="181"/>
      <c r="L93" s="183"/>
      <c r="M93" s="364">
        <v>1</v>
      </c>
      <c r="N93" s="178">
        <f>Assumptions!G$28</f>
        <v>14</v>
      </c>
      <c r="O93" s="178">
        <f>+N93*M93</f>
        <v>14</v>
      </c>
      <c r="P93" s="178">
        <f t="shared" si="5"/>
        <v>29.2696</v>
      </c>
      <c r="Q93" s="158"/>
      <c r="R93" s="59"/>
    </row>
    <row r="94" spans="1:18" ht="12">
      <c r="A94" s="13"/>
      <c r="B94" s="13"/>
      <c r="C94" s="13" t="s">
        <v>223</v>
      </c>
      <c r="D94" s="13"/>
      <c r="E94" s="181" t="s">
        <v>2</v>
      </c>
      <c r="F94" s="182"/>
      <c r="G94" s="182"/>
      <c r="H94" s="178"/>
      <c r="I94" s="366">
        <v>0.42</v>
      </c>
      <c r="J94" s="369" t="s">
        <v>26</v>
      </c>
      <c r="K94" s="368">
        <v>33.87</v>
      </c>
      <c r="L94" s="183">
        <f>+K94*I94</f>
        <v>14.225399999999999</v>
      </c>
      <c r="M94" s="182"/>
      <c r="N94" s="178"/>
      <c r="O94" s="178"/>
      <c r="P94" s="178">
        <f t="shared" si="5"/>
        <v>14.225399999999999</v>
      </c>
      <c r="Q94" s="158"/>
      <c r="R94" s="59"/>
    </row>
    <row r="95" spans="1:18" ht="12">
      <c r="A95" s="13"/>
      <c r="B95" s="13"/>
      <c r="C95" s="13" t="s">
        <v>183</v>
      </c>
      <c r="D95" s="13"/>
      <c r="E95" s="181"/>
      <c r="F95" s="182"/>
      <c r="G95" s="182"/>
      <c r="H95" s="178"/>
      <c r="I95" s="366">
        <v>0.32</v>
      </c>
      <c r="J95" s="369" t="s">
        <v>26</v>
      </c>
      <c r="K95" s="368">
        <v>10</v>
      </c>
      <c r="L95" s="183">
        <f>+K95*I95</f>
        <v>3.2</v>
      </c>
      <c r="M95" s="182"/>
      <c r="N95" s="178"/>
      <c r="O95" s="178"/>
      <c r="P95" s="178">
        <f t="shared" si="5"/>
        <v>3.2</v>
      </c>
      <c r="Q95" s="158"/>
      <c r="R95" s="59"/>
    </row>
    <row r="96" spans="1:18" ht="12">
      <c r="A96" s="13"/>
      <c r="B96" s="13"/>
      <c r="C96" s="13" t="s">
        <v>243</v>
      </c>
      <c r="D96" s="13"/>
      <c r="E96" s="181"/>
      <c r="F96" s="182"/>
      <c r="G96" s="182"/>
      <c r="H96" s="178"/>
      <c r="I96" s="366">
        <v>1.02</v>
      </c>
      <c r="J96" s="369" t="s">
        <v>26</v>
      </c>
      <c r="K96" s="368">
        <v>1.14</v>
      </c>
      <c r="L96" s="183">
        <f>+K96*I96</f>
        <v>1.1627999999999998</v>
      </c>
      <c r="M96" s="182"/>
      <c r="N96" s="178"/>
      <c r="O96" s="178"/>
      <c r="P96" s="178">
        <f t="shared" si="5"/>
        <v>1.1627999999999998</v>
      </c>
      <c r="Q96" s="158"/>
      <c r="R96" s="59"/>
    </row>
    <row r="97" spans="1:18" ht="12">
      <c r="A97" s="13" t="s">
        <v>147</v>
      </c>
      <c r="B97" s="13" t="s">
        <v>184</v>
      </c>
      <c r="C97" s="13"/>
      <c r="D97" s="13"/>
      <c r="E97" s="181" t="s">
        <v>142</v>
      </c>
      <c r="F97" s="182"/>
      <c r="G97" s="182"/>
      <c r="H97" s="178"/>
      <c r="I97" s="178"/>
      <c r="J97" s="180"/>
      <c r="K97" s="181"/>
      <c r="L97" s="178"/>
      <c r="M97" s="364">
        <v>6</v>
      </c>
      <c r="N97" s="178">
        <f>Assumptions!G$29</f>
        <v>10.6</v>
      </c>
      <c r="O97" s="178">
        <f>+N97*M97</f>
        <v>63.599999999999994</v>
      </c>
      <c r="P97" s="178">
        <f t="shared" si="5"/>
        <v>63.599999999999994</v>
      </c>
      <c r="Q97" s="158"/>
      <c r="R97" s="59"/>
    </row>
    <row r="98" spans="1:18" ht="12">
      <c r="A98" s="13" t="s">
        <v>143</v>
      </c>
      <c r="B98" s="13" t="s">
        <v>168</v>
      </c>
      <c r="C98" s="13"/>
      <c r="D98" s="13"/>
      <c r="E98" s="181" t="s">
        <v>142</v>
      </c>
      <c r="F98" s="182"/>
      <c r="G98" s="182"/>
      <c r="H98" s="178"/>
      <c r="I98" s="178"/>
      <c r="J98" s="180"/>
      <c r="K98" s="181"/>
      <c r="L98" s="178"/>
      <c r="M98" s="364">
        <v>6</v>
      </c>
      <c r="N98" s="178">
        <f>Assumptions!G$29</f>
        <v>10.6</v>
      </c>
      <c r="O98" s="178">
        <f>+N98*M98</f>
        <v>63.599999999999994</v>
      </c>
      <c r="P98" s="178">
        <f t="shared" si="5"/>
        <v>63.599999999999994</v>
      </c>
      <c r="Q98" s="158"/>
      <c r="R98" s="59"/>
    </row>
    <row r="99" spans="1:18" ht="12">
      <c r="A99" s="13" t="s">
        <v>143</v>
      </c>
      <c r="B99" s="250" t="s">
        <v>173</v>
      </c>
      <c r="C99" s="13"/>
      <c r="D99" s="13"/>
      <c r="E99" s="181"/>
      <c r="F99" s="182"/>
      <c r="G99" s="182"/>
      <c r="H99" s="178"/>
      <c r="I99" s="178"/>
      <c r="J99" s="180"/>
      <c r="K99" s="181"/>
      <c r="L99" s="178"/>
      <c r="M99" s="364">
        <v>1</v>
      </c>
      <c r="N99" s="178">
        <f>Assumptions!G$28</f>
        <v>14</v>
      </c>
      <c r="O99" s="178">
        <f>+M99*N99</f>
        <v>14</v>
      </c>
      <c r="P99" s="178">
        <f t="shared" si="5"/>
        <v>14</v>
      </c>
      <c r="Q99" s="158"/>
      <c r="R99" s="59"/>
    </row>
    <row r="100" spans="1:18" ht="12">
      <c r="A100" s="13" t="s">
        <v>143</v>
      </c>
      <c r="B100" s="13" t="s">
        <v>235</v>
      </c>
      <c r="C100" s="13"/>
      <c r="D100" s="13"/>
      <c r="E100" s="6" t="s">
        <v>197</v>
      </c>
      <c r="F100" s="364">
        <v>0.65</v>
      </c>
      <c r="G100" s="182">
        <f>Machinery!U5+Machinery!U6</f>
        <v>20.65756</v>
      </c>
      <c r="H100" s="178">
        <f>G100*F100</f>
        <v>13.427414</v>
      </c>
      <c r="I100" s="366">
        <v>79.8</v>
      </c>
      <c r="J100" s="369" t="s">
        <v>26</v>
      </c>
      <c r="K100" s="368">
        <v>1</v>
      </c>
      <c r="L100" s="178">
        <f>+K100*I100</f>
        <v>79.8</v>
      </c>
      <c r="M100" s="182">
        <f>+F100*1.2</f>
        <v>0.78</v>
      </c>
      <c r="N100" s="178">
        <f>Assumptions!G$29</f>
        <v>10.6</v>
      </c>
      <c r="O100" s="178">
        <f>+N100*M100</f>
        <v>8.268</v>
      </c>
      <c r="P100" s="178">
        <f t="shared" si="5"/>
        <v>101.495414</v>
      </c>
      <c r="Q100" s="158"/>
      <c r="R100" s="59"/>
    </row>
    <row r="101" spans="1:18" ht="12">
      <c r="A101" s="13"/>
      <c r="B101" s="13"/>
      <c r="C101" s="13" t="s">
        <v>352</v>
      </c>
      <c r="D101" s="13"/>
      <c r="E101" s="6"/>
      <c r="F101" s="246"/>
      <c r="G101" s="182"/>
      <c r="H101" s="178"/>
      <c r="I101" s="366">
        <v>5.6</v>
      </c>
      <c r="J101" s="369" t="s">
        <v>35</v>
      </c>
      <c r="K101" s="368">
        <v>14</v>
      </c>
      <c r="L101" s="178">
        <f>+K101*I101</f>
        <v>78.39999999999999</v>
      </c>
      <c r="M101" s="182"/>
      <c r="N101" s="178"/>
      <c r="O101" s="178"/>
      <c r="P101" s="178">
        <f>O101+L101+H101</f>
        <v>78.39999999999999</v>
      </c>
      <c r="Q101" s="158"/>
      <c r="R101" s="59"/>
    </row>
    <row r="102" spans="1:18" ht="12">
      <c r="A102" s="13"/>
      <c r="B102" s="13"/>
      <c r="C102" s="13" t="s">
        <v>353</v>
      </c>
      <c r="D102" s="13"/>
      <c r="E102" s="6"/>
      <c r="F102" s="246"/>
      <c r="G102" s="182"/>
      <c r="H102" s="178"/>
      <c r="I102" s="366">
        <v>3</v>
      </c>
      <c r="J102" s="369" t="s">
        <v>35</v>
      </c>
      <c r="K102" s="368">
        <v>14</v>
      </c>
      <c r="L102" s="178">
        <f>+K102*I102</f>
        <v>42</v>
      </c>
      <c r="M102" s="182"/>
      <c r="N102" s="178"/>
      <c r="O102" s="178"/>
      <c r="P102" s="178">
        <f t="shared" si="5"/>
        <v>42</v>
      </c>
      <c r="Q102" s="158"/>
      <c r="R102" s="59"/>
    </row>
    <row r="103" spans="1:18" ht="12">
      <c r="A103" s="13" t="s">
        <v>143</v>
      </c>
      <c r="B103" s="13" t="s">
        <v>244</v>
      </c>
      <c r="C103" s="13"/>
      <c r="D103" s="13"/>
      <c r="E103" s="181" t="s">
        <v>284</v>
      </c>
      <c r="F103" s="364">
        <v>10</v>
      </c>
      <c r="G103" s="246">
        <f>Machinery!V16</f>
        <v>12.928999999999998</v>
      </c>
      <c r="H103" s="178">
        <f>G103*F103</f>
        <v>129.29</v>
      </c>
      <c r="I103" s="178"/>
      <c r="J103" s="180"/>
      <c r="K103" s="181"/>
      <c r="L103" s="178"/>
      <c r="M103" s="364">
        <v>5</v>
      </c>
      <c r="N103" s="178">
        <f>Assumptions!G$28</f>
        <v>14</v>
      </c>
      <c r="O103" s="178">
        <f>+N103*M103</f>
        <v>70</v>
      </c>
      <c r="P103" s="178">
        <f t="shared" si="5"/>
        <v>199.29</v>
      </c>
      <c r="Q103" s="158"/>
      <c r="R103" s="59"/>
    </row>
    <row r="104" spans="1:18" ht="12">
      <c r="A104" s="13" t="s">
        <v>143</v>
      </c>
      <c r="B104" s="13" t="s">
        <v>182</v>
      </c>
      <c r="C104" s="13"/>
      <c r="D104" s="13"/>
      <c r="E104" s="181" t="s">
        <v>283</v>
      </c>
      <c r="F104" s="364">
        <v>2</v>
      </c>
      <c r="G104" s="182">
        <f>Machinery!U15+Machinery!V17</f>
        <v>7.6348</v>
      </c>
      <c r="H104" s="178">
        <f>G104*F104</f>
        <v>15.2696</v>
      </c>
      <c r="I104" s="183"/>
      <c r="J104" s="180" t="s">
        <v>2</v>
      </c>
      <c r="K104" s="181"/>
      <c r="L104" s="183"/>
      <c r="M104" s="364">
        <v>1</v>
      </c>
      <c r="N104" s="178">
        <f>Assumptions!G$28</f>
        <v>14</v>
      </c>
      <c r="O104" s="178">
        <f>+N104*M104</f>
        <v>14</v>
      </c>
      <c r="P104" s="178">
        <f t="shared" si="5"/>
        <v>29.2696</v>
      </c>
      <c r="Q104" s="158"/>
      <c r="R104" s="59"/>
    </row>
    <row r="105" spans="1:18" ht="12">
      <c r="A105" s="13"/>
      <c r="B105" s="13"/>
      <c r="C105" s="13" t="s">
        <v>221</v>
      </c>
      <c r="D105" s="13"/>
      <c r="E105" s="181" t="s">
        <v>2</v>
      </c>
      <c r="F105" s="182"/>
      <c r="G105" s="182"/>
      <c r="H105" s="178"/>
      <c r="I105" s="366">
        <v>0.42</v>
      </c>
      <c r="J105" s="369" t="s">
        <v>26</v>
      </c>
      <c r="K105" s="368">
        <v>33.87</v>
      </c>
      <c r="L105" s="183">
        <f>+K105*I105</f>
        <v>14.225399999999999</v>
      </c>
      <c r="M105" s="182"/>
      <c r="N105" s="178"/>
      <c r="O105" s="178"/>
      <c r="P105" s="178">
        <f t="shared" si="5"/>
        <v>14.225399999999999</v>
      </c>
      <c r="Q105" s="158"/>
      <c r="R105" s="59"/>
    </row>
    <row r="106" spans="1:18" ht="12">
      <c r="A106" s="13"/>
      <c r="B106" s="13"/>
      <c r="C106" s="13" t="s">
        <v>183</v>
      </c>
      <c r="D106" s="13"/>
      <c r="E106" s="181"/>
      <c r="F106" s="182"/>
      <c r="G106" s="182"/>
      <c r="H106" s="178"/>
      <c r="I106" s="366">
        <v>0.32</v>
      </c>
      <c r="J106" s="369" t="s">
        <v>26</v>
      </c>
      <c r="K106" s="368">
        <v>10</v>
      </c>
      <c r="L106" s="183">
        <f>+K106*I106</f>
        <v>3.2</v>
      </c>
      <c r="M106" s="182"/>
      <c r="N106" s="178"/>
      <c r="O106" s="178"/>
      <c r="P106" s="178">
        <f t="shared" si="5"/>
        <v>3.2</v>
      </c>
      <c r="Q106" s="158"/>
      <c r="R106" s="59"/>
    </row>
    <row r="107" spans="1:18" ht="12">
      <c r="A107" s="13" t="s">
        <v>149</v>
      </c>
      <c r="B107" s="13" t="s">
        <v>160</v>
      </c>
      <c r="C107" s="13"/>
      <c r="D107" s="13"/>
      <c r="E107" s="181" t="s">
        <v>142</v>
      </c>
      <c r="F107" s="182"/>
      <c r="G107" s="182"/>
      <c r="H107" s="178"/>
      <c r="I107" s="366">
        <v>7</v>
      </c>
      <c r="J107" s="369" t="s">
        <v>161</v>
      </c>
      <c r="K107" s="368">
        <v>1</v>
      </c>
      <c r="L107" s="178">
        <f>+K107*I107</f>
        <v>7</v>
      </c>
      <c r="M107" s="364">
        <v>0.5</v>
      </c>
      <c r="N107" s="178">
        <f>Assumptions!G$29</f>
        <v>10.6</v>
      </c>
      <c r="O107" s="178">
        <f>+N107*M107</f>
        <v>5.3</v>
      </c>
      <c r="P107" s="178">
        <f t="shared" si="5"/>
        <v>12.3</v>
      </c>
      <c r="Q107" s="158"/>
      <c r="R107" s="59"/>
    </row>
    <row r="108" spans="1:18" ht="12">
      <c r="A108" s="13" t="s">
        <v>149</v>
      </c>
      <c r="B108" s="13" t="s">
        <v>244</v>
      </c>
      <c r="C108" s="13"/>
      <c r="D108" s="13"/>
      <c r="E108" s="181" t="s">
        <v>284</v>
      </c>
      <c r="F108" s="364">
        <v>10</v>
      </c>
      <c r="G108" s="246">
        <f>Machinery!V16</f>
        <v>12.928999999999998</v>
      </c>
      <c r="H108" s="178">
        <f>G108*F108</f>
        <v>129.29</v>
      </c>
      <c r="I108" s="178"/>
      <c r="J108" s="180"/>
      <c r="K108" s="181"/>
      <c r="L108" s="178"/>
      <c r="M108" s="364">
        <v>5</v>
      </c>
      <c r="N108" s="178">
        <f>Assumptions!G$28</f>
        <v>14</v>
      </c>
      <c r="O108" s="178">
        <f>+N108*M108</f>
        <v>70</v>
      </c>
      <c r="P108" s="178">
        <f t="shared" si="5"/>
        <v>199.29</v>
      </c>
      <c r="Q108" s="158"/>
      <c r="R108" s="59"/>
    </row>
    <row r="109" spans="1:18" ht="12">
      <c r="A109" s="13" t="s">
        <v>149</v>
      </c>
      <c r="B109" s="13" t="s">
        <v>184</v>
      </c>
      <c r="C109" s="13"/>
      <c r="D109" s="13"/>
      <c r="E109" s="181" t="s">
        <v>142</v>
      </c>
      <c r="F109" s="182"/>
      <c r="G109" s="182"/>
      <c r="H109" s="178"/>
      <c r="I109" s="178"/>
      <c r="J109" s="180"/>
      <c r="K109" s="181"/>
      <c r="L109" s="178"/>
      <c r="M109" s="364">
        <v>6</v>
      </c>
      <c r="N109" s="178">
        <f>Assumptions!G$29</f>
        <v>10.6</v>
      </c>
      <c r="O109" s="178">
        <f>+N109*M109</f>
        <v>63.599999999999994</v>
      </c>
      <c r="P109" s="178">
        <f t="shared" si="5"/>
        <v>63.599999999999994</v>
      </c>
      <c r="Q109" s="158"/>
      <c r="R109" s="140"/>
    </row>
    <row r="110" spans="1:18" ht="12">
      <c r="A110" s="13" t="s">
        <v>149</v>
      </c>
      <c r="B110" s="13" t="s">
        <v>168</v>
      </c>
      <c r="C110" s="13"/>
      <c r="D110" s="13"/>
      <c r="E110" s="181" t="s">
        <v>142</v>
      </c>
      <c r="F110" s="182"/>
      <c r="G110" s="182"/>
      <c r="H110" s="178"/>
      <c r="I110" s="178"/>
      <c r="J110" s="180"/>
      <c r="K110" s="181"/>
      <c r="L110" s="178"/>
      <c r="M110" s="364">
        <v>6</v>
      </c>
      <c r="N110" s="178">
        <f>Assumptions!G$29</f>
        <v>10.6</v>
      </c>
      <c r="O110" s="178">
        <f>+N110*M110</f>
        <v>63.599999999999994</v>
      </c>
      <c r="P110" s="178">
        <f t="shared" si="5"/>
        <v>63.599999999999994</v>
      </c>
      <c r="Q110" s="158"/>
      <c r="R110" s="59"/>
    </row>
    <row r="111" spans="1:18" ht="12">
      <c r="A111" s="13" t="s">
        <v>149</v>
      </c>
      <c r="B111" s="13" t="s">
        <v>222</v>
      </c>
      <c r="C111" s="13"/>
      <c r="D111" s="13"/>
      <c r="E111" s="181" t="s">
        <v>185</v>
      </c>
      <c r="F111" s="182"/>
      <c r="G111" s="182"/>
      <c r="H111" s="178"/>
      <c r="I111" s="366">
        <v>35</v>
      </c>
      <c r="J111" s="369" t="s">
        <v>186</v>
      </c>
      <c r="K111" s="368">
        <v>1</v>
      </c>
      <c r="L111" s="178">
        <f>+K111*I111</f>
        <v>35</v>
      </c>
      <c r="M111" s="182"/>
      <c r="N111" s="178"/>
      <c r="O111" s="178"/>
      <c r="P111" s="178">
        <f t="shared" si="5"/>
        <v>35</v>
      </c>
      <c r="Q111" s="158"/>
      <c r="R111" s="59"/>
    </row>
    <row r="112" spans="1:18" ht="12">
      <c r="A112" s="13" t="s">
        <v>149</v>
      </c>
      <c r="B112" s="13" t="s">
        <v>354</v>
      </c>
      <c r="C112" s="13"/>
      <c r="D112" s="13"/>
      <c r="E112" s="6" t="s">
        <v>197</v>
      </c>
      <c r="F112" s="364">
        <v>0.65</v>
      </c>
      <c r="G112" s="182">
        <f>Machinery!U5+Machinery!U6</f>
        <v>20.65756</v>
      </c>
      <c r="H112" s="178">
        <f>G112*F112</f>
        <v>13.427414</v>
      </c>
      <c r="I112" s="366">
        <v>8.4</v>
      </c>
      <c r="J112" s="369" t="s">
        <v>26</v>
      </c>
      <c r="K112" s="368">
        <v>3</v>
      </c>
      <c r="L112" s="178">
        <f>+K112*I112</f>
        <v>25.200000000000003</v>
      </c>
      <c r="M112" s="182">
        <f>+F112*1.2</f>
        <v>0.78</v>
      </c>
      <c r="N112" s="178">
        <f>Assumptions!G$29</f>
        <v>10.6</v>
      </c>
      <c r="O112" s="178">
        <f>+N112*M112</f>
        <v>8.268</v>
      </c>
      <c r="P112" s="178">
        <f>O112+L112+H112</f>
        <v>46.895414</v>
      </c>
      <c r="Q112" s="158"/>
      <c r="R112" s="59"/>
    </row>
    <row r="113" spans="1:18" ht="12">
      <c r="A113" s="13" t="s">
        <v>149</v>
      </c>
      <c r="B113" s="13" t="s">
        <v>182</v>
      </c>
      <c r="C113" s="13"/>
      <c r="D113" s="13"/>
      <c r="E113" s="181" t="s">
        <v>283</v>
      </c>
      <c r="F113" s="364">
        <v>2</v>
      </c>
      <c r="G113" s="246">
        <f>Machinery!U15+Machinery!V17</f>
        <v>7.6348</v>
      </c>
      <c r="H113" s="178">
        <f>G113*F113</f>
        <v>15.2696</v>
      </c>
      <c r="I113" s="183"/>
      <c r="J113" s="180" t="s">
        <v>2</v>
      </c>
      <c r="K113" s="181"/>
      <c r="L113" s="183"/>
      <c r="M113" s="364">
        <v>1</v>
      </c>
      <c r="N113" s="178">
        <f>Assumptions!G$28</f>
        <v>14</v>
      </c>
      <c r="O113" s="178">
        <f>+N113*M113</f>
        <v>14</v>
      </c>
      <c r="P113" s="178">
        <f t="shared" si="5"/>
        <v>29.2696</v>
      </c>
      <c r="Q113" s="158"/>
      <c r="R113" s="59"/>
    </row>
    <row r="114" spans="1:18" ht="12">
      <c r="A114" s="13"/>
      <c r="B114" s="13"/>
      <c r="C114" s="13" t="s">
        <v>223</v>
      </c>
      <c r="D114" s="13"/>
      <c r="E114" s="181" t="s">
        <v>2</v>
      </c>
      <c r="F114" s="182"/>
      <c r="G114" s="182"/>
      <c r="H114" s="178"/>
      <c r="I114" s="366">
        <v>0.42</v>
      </c>
      <c r="J114" s="369" t="s">
        <v>26</v>
      </c>
      <c r="K114" s="368">
        <v>33.87</v>
      </c>
      <c r="L114" s="183">
        <f>+K114*I114</f>
        <v>14.225399999999999</v>
      </c>
      <c r="M114" s="182"/>
      <c r="N114" s="178"/>
      <c r="O114" s="178"/>
      <c r="P114" s="178">
        <f t="shared" si="5"/>
        <v>14.225399999999999</v>
      </c>
      <c r="Q114" s="158"/>
      <c r="R114" s="59"/>
    </row>
    <row r="115" spans="1:18" ht="12">
      <c r="A115" s="13"/>
      <c r="B115" s="13"/>
      <c r="C115" s="13" t="s">
        <v>183</v>
      </c>
      <c r="D115" s="13"/>
      <c r="E115" s="181"/>
      <c r="F115" s="182"/>
      <c r="G115" s="182"/>
      <c r="H115" s="178"/>
      <c r="I115" s="366">
        <v>0.32</v>
      </c>
      <c r="J115" s="369" t="s">
        <v>26</v>
      </c>
      <c r="K115" s="368">
        <v>10</v>
      </c>
      <c r="L115" s="183">
        <f>+K115*I115</f>
        <v>3.2</v>
      </c>
      <c r="M115" s="182"/>
      <c r="N115" s="178"/>
      <c r="O115" s="178"/>
      <c r="P115" s="178">
        <f t="shared" si="5"/>
        <v>3.2</v>
      </c>
      <c r="Q115" s="158"/>
      <c r="R115" s="59"/>
    </row>
    <row r="116" spans="1:18" ht="12">
      <c r="A116" s="13" t="s">
        <v>156</v>
      </c>
      <c r="B116" s="250" t="s">
        <v>245</v>
      </c>
      <c r="C116" s="13"/>
      <c r="D116" s="13"/>
      <c r="E116" s="181"/>
      <c r="F116" s="182"/>
      <c r="G116" s="182"/>
      <c r="H116" s="178"/>
      <c r="I116" s="178"/>
      <c r="J116" s="180"/>
      <c r="K116" s="181"/>
      <c r="L116" s="178"/>
      <c r="M116" s="364">
        <v>1</v>
      </c>
      <c r="N116" s="178">
        <f>Assumptions!G$28</f>
        <v>14</v>
      </c>
      <c r="O116" s="178">
        <f>+M116*N116</f>
        <v>14</v>
      </c>
      <c r="P116" s="178">
        <f t="shared" si="5"/>
        <v>14</v>
      </c>
      <c r="Q116" s="158"/>
      <c r="R116" s="59"/>
    </row>
    <row r="117" spans="1:18" ht="12">
      <c r="A117" s="13" t="s">
        <v>156</v>
      </c>
      <c r="B117" s="13" t="s">
        <v>246</v>
      </c>
      <c r="C117" s="13"/>
      <c r="D117" s="13"/>
      <c r="E117" s="6" t="s">
        <v>197</v>
      </c>
      <c r="F117" s="364">
        <v>0.65</v>
      </c>
      <c r="G117" s="182">
        <f>Machinery!U5+Machinery!U6</f>
        <v>20.65756</v>
      </c>
      <c r="H117" s="178">
        <f>G117*F117</f>
        <v>13.427414</v>
      </c>
      <c r="I117" s="366">
        <v>14</v>
      </c>
      <c r="J117" s="369" t="s">
        <v>26</v>
      </c>
      <c r="K117" s="368">
        <v>2</v>
      </c>
      <c r="L117" s="178">
        <f>+K117*I117</f>
        <v>28</v>
      </c>
      <c r="M117" s="182">
        <f>+F117*1.2</f>
        <v>0.78</v>
      </c>
      <c r="N117" s="178">
        <f>Assumptions!G$29</f>
        <v>10.6</v>
      </c>
      <c r="O117" s="178">
        <f>+N117*M117</f>
        <v>8.268</v>
      </c>
      <c r="P117" s="178">
        <f t="shared" si="5"/>
        <v>49.695414</v>
      </c>
      <c r="Q117" s="158"/>
      <c r="R117" s="59"/>
    </row>
    <row r="118" spans="1:18" ht="12">
      <c r="A118" s="13" t="s">
        <v>2</v>
      </c>
      <c r="B118" s="13" t="s">
        <v>2</v>
      </c>
      <c r="C118" s="13" t="s">
        <v>352</v>
      </c>
      <c r="D118" s="13"/>
      <c r="E118" s="6"/>
      <c r="F118" s="246"/>
      <c r="G118" s="182"/>
      <c r="H118" s="178"/>
      <c r="I118" s="366">
        <v>5.6</v>
      </c>
      <c r="J118" s="369" t="s">
        <v>35</v>
      </c>
      <c r="K118" s="368">
        <v>14</v>
      </c>
      <c r="L118" s="178">
        <f>+K118*I118</f>
        <v>78.39999999999999</v>
      </c>
      <c r="M118" s="182"/>
      <c r="N118" s="178"/>
      <c r="O118" s="178"/>
      <c r="P118" s="178">
        <f t="shared" si="5"/>
        <v>78.39999999999999</v>
      </c>
      <c r="Q118" s="158"/>
      <c r="R118" s="59"/>
    </row>
    <row r="119" spans="1:18" ht="12">
      <c r="A119" s="13"/>
      <c r="B119" s="13"/>
      <c r="C119" s="13" t="s">
        <v>353</v>
      </c>
      <c r="D119" s="13"/>
      <c r="E119" s="6"/>
      <c r="F119" s="246"/>
      <c r="G119" s="182"/>
      <c r="H119" s="178"/>
      <c r="I119" s="366">
        <v>3</v>
      </c>
      <c r="J119" s="369" t="s">
        <v>35</v>
      </c>
      <c r="K119" s="368">
        <v>14</v>
      </c>
      <c r="L119" s="178">
        <f>+K119*I119</f>
        <v>42</v>
      </c>
      <c r="M119" s="182"/>
      <c r="N119" s="178"/>
      <c r="O119" s="178"/>
      <c r="P119" s="178">
        <f>O119+L119+H119</f>
        <v>42</v>
      </c>
      <c r="Q119" s="158"/>
      <c r="R119" s="59"/>
    </row>
    <row r="120" spans="1:18" ht="12">
      <c r="A120" s="13" t="s">
        <v>156</v>
      </c>
      <c r="B120" s="13" t="s">
        <v>182</v>
      </c>
      <c r="C120" s="13"/>
      <c r="D120" s="13"/>
      <c r="E120" s="181" t="s">
        <v>283</v>
      </c>
      <c r="F120" s="364">
        <v>2</v>
      </c>
      <c r="G120" s="246">
        <f>Machinery!U15+Machinery!V17</f>
        <v>7.6348</v>
      </c>
      <c r="H120" s="178">
        <f>G120*F120</f>
        <v>15.2696</v>
      </c>
      <c r="I120" s="183"/>
      <c r="J120" s="180" t="s">
        <v>2</v>
      </c>
      <c r="K120" s="181"/>
      <c r="L120" s="183"/>
      <c r="M120" s="364">
        <v>1</v>
      </c>
      <c r="N120" s="178">
        <f>Assumptions!G$28</f>
        <v>14</v>
      </c>
      <c r="O120" s="178">
        <f>+N120*M120</f>
        <v>14</v>
      </c>
      <c r="P120" s="178">
        <f t="shared" si="5"/>
        <v>29.2696</v>
      </c>
      <c r="Q120" s="158"/>
      <c r="R120" s="59"/>
    </row>
    <row r="121" spans="1:18" ht="12">
      <c r="A121" s="13"/>
      <c r="B121" s="13"/>
      <c r="C121" s="13" t="s">
        <v>223</v>
      </c>
      <c r="D121" s="13"/>
      <c r="E121" s="181" t="s">
        <v>2</v>
      </c>
      <c r="F121" s="182"/>
      <c r="G121" s="182"/>
      <c r="H121" s="178"/>
      <c r="I121" s="366">
        <v>0.42</v>
      </c>
      <c r="J121" s="369" t="s">
        <v>26</v>
      </c>
      <c r="K121" s="368">
        <v>33.87</v>
      </c>
      <c r="L121" s="183">
        <f>+K121*I121</f>
        <v>14.225399999999999</v>
      </c>
      <c r="M121" s="182"/>
      <c r="N121" s="178"/>
      <c r="O121" s="178"/>
      <c r="P121" s="178">
        <f t="shared" si="5"/>
        <v>14.225399999999999</v>
      </c>
      <c r="Q121" s="158"/>
      <c r="R121" s="59"/>
    </row>
    <row r="122" spans="1:18" ht="12">
      <c r="A122" s="13"/>
      <c r="B122" s="13"/>
      <c r="C122" s="13" t="s">
        <v>183</v>
      </c>
      <c r="D122" s="13"/>
      <c r="E122" s="181"/>
      <c r="F122" s="182"/>
      <c r="G122" s="182"/>
      <c r="H122" s="178"/>
      <c r="I122" s="366">
        <v>0.32</v>
      </c>
      <c r="J122" s="369" t="s">
        <v>26</v>
      </c>
      <c r="K122" s="368">
        <v>10</v>
      </c>
      <c r="L122" s="183">
        <f>+K122*I122</f>
        <v>3.2</v>
      </c>
      <c r="M122" s="182"/>
      <c r="N122" s="178"/>
      <c r="O122" s="178"/>
      <c r="P122" s="178">
        <f t="shared" si="5"/>
        <v>3.2</v>
      </c>
      <c r="Q122" s="158"/>
      <c r="R122" s="59"/>
    </row>
    <row r="123" spans="1:144" s="157" customFormat="1" ht="12">
      <c r="A123" s="207" t="s">
        <v>187</v>
      </c>
      <c r="B123" s="207"/>
      <c r="C123" s="207"/>
      <c r="D123" s="207"/>
      <c r="E123" s="208"/>
      <c r="F123" s="209"/>
      <c r="G123" s="209"/>
      <c r="H123" s="210">
        <f>SUM(H91:H122)</f>
        <v>359.940642</v>
      </c>
      <c r="I123" s="224"/>
      <c r="J123" s="211"/>
      <c r="K123" s="208"/>
      <c r="L123" s="210">
        <f>SUM(L91:L122)</f>
        <v>493.6643999999999</v>
      </c>
      <c r="M123" s="240">
        <f>SUM(M91:M122)</f>
        <v>53.34</v>
      </c>
      <c r="N123" s="210"/>
      <c r="O123" s="210">
        <f>SUM(O91:O122)</f>
        <v>619.8040000000001</v>
      </c>
      <c r="P123" s="210">
        <f>SUM(P91:P122)</f>
        <v>1473.4090420000002</v>
      </c>
      <c r="Q123" s="210">
        <f>Q89+P123</f>
        <v>11636.828655333335</v>
      </c>
      <c r="R123" s="5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49"/>
      <c r="DA123" s="149"/>
      <c r="DB123" s="149"/>
      <c r="DC123" s="149"/>
      <c r="DD123" s="149"/>
      <c r="DE123" s="149"/>
      <c r="DF123" s="149"/>
      <c r="DG123" s="149"/>
      <c r="DH123" s="149"/>
      <c r="DI123" s="149"/>
      <c r="DJ123" s="149"/>
      <c r="DK123" s="149"/>
      <c r="DL123" s="149"/>
      <c r="DM123" s="149"/>
      <c r="DN123" s="149"/>
      <c r="DO123" s="149"/>
      <c r="DP123" s="149"/>
      <c r="DQ123" s="149"/>
      <c r="DR123" s="149"/>
      <c r="DS123" s="149"/>
      <c r="DT123" s="149"/>
      <c r="DU123" s="149"/>
      <c r="DV123" s="149"/>
      <c r="DW123" s="149"/>
      <c r="DX123" s="149"/>
      <c r="DY123" s="149"/>
      <c r="DZ123" s="149"/>
      <c r="EA123" s="149"/>
      <c r="EB123" s="149"/>
      <c r="EC123" s="149"/>
      <c r="ED123" s="149"/>
      <c r="EE123" s="149"/>
      <c r="EF123" s="149"/>
      <c r="EG123" s="149"/>
      <c r="EH123" s="149"/>
      <c r="EI123" s="149"/>
      <c r="EJ123" s="149"/>
      <c r="EK123" s="149"/>
      <c r="EL123" s="149"/>
      <c r="EM123" s="149"/>
      <c r="EN123" s="149"/>
    </row>
    <row r="124" spans="1:18" ht="12">
      <c r="A124" s="136" t="s">
        <v>25</v>
      </c>
      <c r="B124" s="13"/>
      <c r="C124" s="13"/>
      <c r="D124" s="13"/>
      <c r="E124" s="181"/>
      <c r="F124" s="182"/>
      <c r="G124" s="182"/>
      <c r="H124" s="178" t="s">
        <v>2</v>
      </c>
      <c r="I124" s="178"/>
      <c r="J124" s="180"/>
      <c r="K124" s="181"/>
      <c r="L124" s="178"/>
      <c r="M124" s="182"/>
      <c r="N124" s="178"/>
      <c r="O124" s="178"/>
      <c r="P124" s="178"/>
      <c r="Q124" s="158"/>
      <c r="R124" s="59"/>
    </row>
    <row r="125" spans="1:18" ht="12">
      <c r="A125" s="13" t="s">
        <v>147</v>
      </c>
      <c r="B125" s="13" t="s">
        <v>244</v>
      </c>
      <c r="C125" s="13"/>
      <c r="D125" s="13"/>
      <c r="E125" s="181" t="s">
        <v>284</v>
      </c>
      <c r="F125" s="364">
        <v>8</v>
      </c>
      <c r="G125" s="246">
        <f>Machinery!V16</f>
        <v>12.928999999999998</v>
      </c>
      <c r="H125" s="178">
        <f>G125*F125</f>
        <v>103.43199999999999</v>
      </c>
      <c r="I125" s="178"/>
      <c r="J125" s="180"/>
      <c r="K125" s="181"/>
      <c r="L125" s="178"/>
      <c r="M125" s="364">
        <v>4</v>
      </c>
      <c r="N125" s="178">
        <f>Assumptions!G$28</f>
        <v>14</v>
      </c>
      <c r="O125" s="178">
        <f>+N125*M125</f>
        <v>56</v>
      </c>
      <c r="P125" s="178">
        <f aca="true" t="shared" si="6" ref="P125:P139">O125+L125+H125</f>
        <v>159.432</v>
      </c>
      <c r="Q125" s="158"/>
      <c r="R125" s="59"/>
    </row>
    <row r="126" spans="1:18" ht="12">
      <c r="A126" s="13" t="s">
        <v>147</v>
      </c>
      <c r="B126" s="13" t="s">
        <v>354</v>
      </c>
      <c r="C126" s="13"/>
      <c r="D126" s="13"/>
      <c r="E126" s="6" t="s">
        <v>197</v>
      </c>
      <c r="F126" s="364">
        <v>0.65</v>
      </c>
      <c r="G126" s="182">
        <f>Machinery!U5+Machinery!U6</f>
        <v>20.65756</v>
      </c>
      <c r="H126" s="178">
        <f>G126*F126</f>
        <v>13.427414</v>
      </c>
      <c r="I126" s="366">
        <v>8.4</v>
      </c>
      <c r="J126" s="369" t="s">
        <v>26</v>
      </c>
      <c r="K126" s="368">
        <v>3</v>
      </c>
      <c r="L126" s="178">
        <f>+K126*I126</f>
        <v>25.200000000000003</v>
      </c>
      <c r="M126" s="182">
        <f>+F126*1.2</f>
        <v>0.78</v>
      </c>
      <c r="N126" s="178">
        <f>Assumptions!G$29</f>
        <v>10.6</v>
      </c>
      <c r="O126" s="178">
        <f>+N126*M126</f>
        <v>8.268</v>
      </c>
      <c r="P126" s="178">
        <f t="shared" si="6"/>
        <v>46.895414</v>
      </c>
      <c r="Q126" s="158"/>
      <c r="R126" s="59"/>
    </row>
    <row r="127" spans="1:18" ht="12">
      <c r="A127" s="13" t="s">
        <v>147</v>
      </c>
      <c r="B127" s="13" t="s">
        <v>182</v>
      </c>
      <c r="C127" s="13"/>
      <c r="D127" s="13"/>
      <c r="E127" s="181" t="s">
        <v>283</v>
      </c>
      <c r="F127" s="364">
        <v>2</v>
      </c>
      <c r="G127" s="182">
        <f>Machinery!U15+Machinery!V17</f>
        <v>7.6348</v>
      </c>
      <c r="H127" s="178">
        <f>G127*F127</f>
        <v>15.2696</v>
      </c>
      <c r="I127" s="183"/>
      <c r="J127" s="180" t="s">
        <v>2</v>
      </c>
      <c r="K127" s="181"/>
      <c r="L127" s="183"/>
      <c r="M127" s="364">
        <v>1</v>
      </c>
      <c r="N127" s="178">
        <f>Assumptions!G$28</f>
        <v>14</v>
      </c>
      <c r="O127" s="178">
        <f>+N127*M127</f>
        <v>14</v>
      </c>
      <c r="P127" s="178">
        <f t="shared" si="6"/>
        <v>29.2696</v>
      </c>
      <c r="Q127" s="158"/>
      <c r="R127" s="59"/>
    </row>
    <row r="128" spans="1:18" ht="12">
      <c r="A128" s="13"/>
      <c r="B128" s="13"/>
      <c r="C128" s="13" t="s">
        <v>221</v>
      </c>
      <c r="D128" s="13"/>
      <c r="E128" s="181" t="s">
        <v>2</v>
      </c>
      <c r="F128" s="182"/>
      <c r="G128" s="182"/>
      <c r="H128" s="178"/>
      <c r="I128" s="366">
        <v>0.42</v>
      </c>
      <c r="J128" s="369" t="s">
        <v>26</v>
      </c>
      <c r="K128" s="368">
        <v>33.87</v>
      </c>
      <c r="L128" s="183">
        <f>+K128*I128</f>
        <v>14.225399999999999</v>
      </c>
      <c r="M128" s="182"/>
      <c r="N128" s="178"/>
      <c r="O128" s="178"/>
      <c r="P128" s="178">
        <f t="shared" si="6"/>
        <v>14.225399999999999</v>
      </c>
      <c r="Q128" s="158"/>
      <c r="R128" s="59"/>
    </row>
    <row r="129" spans="1:18" ht="12">
      <c r="A129" s="13"/>
      <c r="B129" s="13"/>
      <c r="C129" s="13" t="s">
        <v>183</v>
      </c>
      <c r="D129" s="13"/>
      <c r="E129" s="181"/>
      <c r="F129" s="182"/>
      <c r="G129" s="182"/>
      <c r="H129" s="178"/>
      <c r="I129" s="366">
        <v>0.32</v>
      </c>
      <c r="J129" s="369" t="s">
        <v>26</v>
      </c>
      <c r="K129" s="368">
        <v>10</v>
      </c>
      <c r="L129" s="183">
        <f>+K129*I129</f>
        <v>3.2</v>
      </c>
      <c r="M129" s="182"/>
      <c r="N129" s="178"/>
      <c r="O129" s="178"/>
      <c r="P129" s="178">
        <f t="shared" si="6"/>
        <v>3.2</v>
      </c>
      <c r="Q129" s="158"/>
      <c r="R129" s="59"/>
    </row>
    <row r="130" spans="1:18" ht="12">
      <c r="A130" s="13" t="s">
        <v>143</v>
      </c>
      <c r="B130" s="13" t="s">
        <v>160</v>
      </c>
      <c r="C130" s="13"/>
      <c r="D130" s="13"/>
      <c r="E130" s="181" t="s">
        <v>142</v>
      </c>
      <c r="F130" s="182"/>
      <c r="G130" s="182"/>
      <c r="H130" s="178"/>
      <c r="I130" s="366">
        <v>7</v>
      </c>
      <c r="J130" s="369" t="s">
        <v>161</v>
      </c>
      <c r="K130" s="368">
        <v>1</v>
      </c>
      <c r="L130" s="178">
        <f>+K130*I130</f>
        <v>7</v>
      </c>
      <c r="M130" s="364">
        <v>0.5</v>
      </c>
      <c r="N130" s="178">
        <f>Assumptions!G$29</f>
        <v>10.6</v>
      </c>
      <c r="O130" s="178">
        <f>+N130*M130</f>
        <v>5.3</v>
      </c>
      <c r="P130" s="178">
        <f t="shared" si="6"/>
        <v>12.3</v>
      </c>
      <c r="Q130" s="158"/>
      <c r="R130" s="59"/>
    </row>
    <row r="131" spans="1:18" ht="12">
      <c r="A131" s="13" t="s">
        <v>143</v>
      </c>
      <c r="B131" s="13" t="s">
        <v>244</v>
      </c>
      <c r="C131" s="13"/>
      <c r="D131" s="13"/>
      <c r="E131" s="181" t="s">
        <v>284</v>
      </c>
      <c r="F131" s="364">
        <v>6</v>
      </c>
      <c r="G131" s="246">
        <f>Machinery!V16</f>
        <v>12.928999999999998</v>
      </c>
      <c r="H131" s="178">
        <f>G131*F131</f>
        <v>77.57399999999998</v>
      </c>
      <c r="I131" s="178"/>
      <c r="J131" s="180"/>
      <c r="K131" s="181"/>
      <c r="L131" s="178"/>
      <c r="M131" s="364">
        <v>3</v>
      </c>
      <c r="N131" s="178">
        <f>Assumptions!G$28</f>
        <v>14</v>
      </c>
      <c r="O131" s="178">
        <f>+N131*M131</f>
        <v>42</v>
      </c>
      <c r="P131" s="178">
        <f t="shared" si="6"/>
        <v>119.57399999999998</v>
      </c>
      <c r="Q131" s="158"/>
      <c r="R131" s="59"/>
    </row>
    <row r="132" spans="1:18" ht="12">
      <c r="A132" s="13" t="s">
        <v>143</v>
      </c>
      <c r="B132" s="13" t="s">
        <v>363</v>
      </c>
      <c r="C132" s="13"/>
      <c r="D132" s="13"/>
      <c r="E132" s="6" t="s">
        <v>197</v>
      </c>
      <c r="F132" s="364">
        <v>0.65</v>
      </c>
      <c r="G132" s="182">
        <f>Machinery!U5+Machinery!U6</f>
        <v>20.65756</v>
      </c>
      <c r="H132" s="178">
        <f>G132*F132</f>
        <v>13.427414</v>
      </c>
      <c r="I132" s="366">
        <v>2.6</v>
      </c>
      <c r="J132" s="369" t="s">
        <v>35</v>
      </c>
      <c r="K132" s="368">
        <v>31</v>
      </c>
      <c r="L132" s="178">
        <f>+K132*I132</f>
        <v>80.60000000000001</v>
      </c>
      <c r="M132" s="182">
        <f>+F132*1.2</f>
        <v>0.78</v>
      </c>
      <c r="N132" s="178">
        <f>Assumptions!G$29</f>
        <v>10.6</v>
      </c>
      <c r="O132" s="178">
        <f>+N132*M132</f>
        <v>8.268</v>
      </c>
      <c r="P132" s="178">
        <f t="shared" si="6"/>
        <v>102.29541400000001</v>
      </c>
      <c r="Q132" s="158"/>
      <c r="R132" s="59"/>
    </row>
    <row r="133" spans="1:18" ht="12">
      <c r="A133" s="13"/>
      <c r="B133" s="13"/>
      <c r="C133" s="13" t="s">
        <v>361</v>
      </c>
      <c r="D133" s="13"/>
      <c r="E133" s="6"/>
      <c r="F133" s="246"/>
      <c r="G133" s="182"/>
      <c r="H133" s="178"/>
      <c r="I133" s="366">
        <v>14</v>
      </c>
      <c r="J133" s="369" t="s">
        <v>26</v>
      </c>
      <c r="K133" s="368">
        <v>2</v>
      </c>
      <c r="L133" s="178">
        <f>+K133*I133</f>
        <v>28</v>
      </c>
      <c r="M133" s="182"/>
      <c r="N133" s="178"/>
      <c r="O133" s="178"/>
      <c r="P133" s="178">
        <f t="shared" si="6"/>
        <v>28</v>
      </c>
      <c r="Q133" s="158"/>
      <c r="R133" s="59"/>
    </row>
    <row r="134" spans="1:18" ht="12">
      <c r="A134" s="13" t="s">
        <v>2</v>
      </c>
      <c r="B134" s="13" t="s">
        <v>2</v>
      </c>
      <c r="C134" s="13" t="s">
        <v>353</v>
      </c>
      <c r="D134" s="13"/>
      <c r="E134" s="6"/>
      <c r="F134" s="246"/>
      <c r="G134" s="182"/>
      <c r="H134" s="178"/>
      <c r="I134" s="366">
        <v>3</v>
      </c>
      <c r="J134" s="369" t="s">
        <v>35</v>
      </c>
      <c r="K134" s="368">
        <v>14</v>
      </c>
      <c r="L134" s="178">
        <f>+K134*I134</f>
        <v>42</v>
      </c>
      <c r="M134" s="182"/>
      <c r="N134" s="178"/>
      <c r="O134" s="178"/>
      <c r="P134" s="178">
        <f t="shared" si="6"/>
        <v>42</v>
      </c>
      <c r="Q134" s="158"/>
      <c r="R134" s="59"/>
    </row>
    <row r="135" spans="1:18" ht="12">
      <c r="A135" s="13" t="s">
        <v>143</v>
      </c>
      <c r="B135" s="13" t="s">
        <v>182</v>
      </c>
      <c r="C135" s="13"/>
      <c r="D135" s="13"/>
      <c r="E135" s="181" t="s">
        <v>283</v>
      </c>
      <c r="F135" s="364">
        <v>2</v>
      </c>
      <c r="G135" s="182">
        <f>Machinery!U15+Machinery!V17</f>
        <v>7.6348</v>
      </c>
      <c r="H135" s="178">
        <f>G135*F135</f>
        <v>15.2696</v>
      </c>
      <c r="I135" s="183"/>
      <c r="J135" s="180" t="s">
        <v>2</v>
      </c>
      <c r="K135" s="181"/>
      <c r="L135" s="183"/>
      <c r="M135" s="364">
        <v>1</v>
      </c>
      <c r="N135" s="178">
        <f>Assumptions!G$28</f>
        <v>14</v>
      </c>
      <c r="O135" s="178">
        <f>+N135*M135</f>
        <v>14</v>
      </c>
      <c r="P135" s="178">
        <f t="shared" si="6"/>
        <v>29.2696</v>
      </c>
      <c r="Q135" s="158"/>
      <c r="R135" s="59"/>
    </row>
    <row r="136" spans="1:18" ht="12">
      <c r="A136" s="13"/>
      <c r="B136" s="13"/>
      <c r="C136" s="13" t="s">
        <v>221</v>
      </c>
      <c r="D136" s="13"/>
      <c r="E136" s="181" t="s">
        <v>2</v>
      </c>
      <c r="F136" s="182"/>
      <c r="G136" s="182"/>
      <c r="H136" s="178"/>
      <c r="I136" s="366">
        <v>0.42</v>
      </c>
      <c r="J136" s="369" t="s">
        <v>26</v>
      </c>
      <c r="K136" s="368">
        <v>33.87</v>
      </c>
      <c r="L136" s="183">
        <f>+K136*I136</f>
        <v>14.225399999999999</v>
      </c>
      <c r="M136" s="182"/>
      <c r="N136" s="178"/>
      <c r="O136" s="178"/>
      <c r="P136" s="178">
        <f t="shared" si="6"/>
        <v>14.225399999999999</v>
      </c>
      <c r="Q136" s="158"/>
      <c r="R136" s="59"/>
    </row>
    <row r="137" spans="1:18" ht="12">
      <c r="A137" s="13"/>
      <c r="B137" s="13"/>
      <c r="C137" s="13" t="s">
        <v>183</v>
      </c>
      <c r="D137" s="13"/>
      <c r="E137" s="181"/>
      <c r="F137" s="182"/>
      <c r="G137" s="182"/>
      <c r="H137" s="178"/>
      <c r="I137" s="366">
        <v>0.32</v>
      </c>
      <c r="J137" s="369" t="s">
        <v>26</v>
      </c>
      <c r="K137" s="368">
        <v>10</v>
      </c>
      <c r="L137" s="183">
        <f>+K137*I137</f>
        <v>3.2</v>
      </c>
      <c r="M137" s="182"/>
      <c r="N137" s="178"/>
      <c r="O137" s="178"/>
      <c r="P137" s="178">
        <f t="shared" si="6"/>
        <v>3.2</v>
      </c>
      <c r="Q137" s="158"/>
      <c r="R137" s="59"/>
    </row>
    <row r="138" spans="1:18" ht="12">
      <c r="A138" s="13" t="s">
        <v>149</v>
      </c>
      <c r="B138" s="13" t="s">
        <v>182</v>
      </c>
      <c r="C138" s="13"/>
      <c r="D138" s="13"/>
      <c r="E138" s="181" t="s">
        <v>283</v>
      </c>
      <c r="F138" s="364">
        <v>2</v>
      </c>
      <c r="G138" s="182">
        <f>Machinery!U15+Machinery!V17</f>
        <v>7.6348</v>
      </c>
      <c r="H138" s="178">
        <f>G138*F138</f>
        <v>15.2696</v>
      </c>
      <c r="I138" s="183"/>
      <c r="J138" s="180" t="s">
        <v>2</v>
      </c>
      <c r="K138" s="181"/>
      <c r="L138" s="183"/>
      <c r="M138" s="364">
        <v>1</v>
      </c>
      <c r="N138" s="178">
        <f>Assumptions!G$28</f>
        <v>14</v>
      </c>
      <c r="O138" s="178">
        <f>+N138*M138</f>
        <v>14</v>
      </c>
      <c r="P138" s="178">
        <f t="shared" si="6"/>
        <v>29.2696</v>
      </c>
      <c r="Q138" s="158"/>
      <c r="R138" s="59"/>
    </row>
    <row r="139" spans="1:18" ht="12">
      <c r="A139" s="13"/>
      <c r="B139" s="13"/>
      <c r="C139" s="13" t="s">
        <v>227</v>
      </c>
      <c r="D139" s="13"/>
      <c r="E139" s="181" t="s">
        <v>2</v>
      </c>
      <c r="F139" s="182"/>
      <c r="G139" s="182"/>
      <c r="H139" s="178"/>
      <c r="I139" s="366">
        <v>0.88</v>
      </c>
      <c r="J139" s="369" t="s">
        <v>26</v>
      </c>
      <c r="K139" s="368">
        <v>53.85</v>
      </c>
      <c r="L139" s="183">
        <f>+K139*I139</f>
        <v>47.388</v>
      </c>
      <c r="M139" s="182"/>
      <c r="N139" s="178"/>
      <c r="O139" s="178"/>
      <c r="P139" s="178">
        <f t="shared" si="6"/>
        <v>47.388</v>
      </c>
      <c r="Q139" s="158"/>
      <c r="R139" s="59"/>
    </row>
    <row r="140" spans="1:144" s="198" customFormat="1" ht="12">
      <c r="A140" s="226" t="s">
        <v>226</v>
      </c>
      <c r="B140" s="204"/>
      <c r="C140" s="204"/>
      <c r="D140" s="204"/>
      <c r="E140" s="205"/>
      <c r="F140" s="206"/>
      <c r="G140" s="206"/>
      <c r="H140" s="218">
        <f>SUM(H74:H139)-H89-H123</f>
        <v>655.7346980000003</v>
      </c>
      <c r="I140" s="218"/>
      <c r="J140" s="229"/>
      <c r="K140" s="230"/>
      <c r="L140" s="218">
        <f>SUM(L74:L139)-L89-L123</f>
        <v>1159.7932000000003</v>
      </c>
      <c r="M140" s="252">
        <f>SUM(M74:M139)-M89-M123</f>
        <v>97.46000000000001</v>
      </c>
      <c r="N140" s="218"/>
      <c r="O140" s="218">
        <f>SUM(O74:O139)-O89-O123</f>
        <v>1133.376</v>
      </c>
      <c r="P140" s="218">
        <f>SUM(P74:P139)-P89-P123</f>
        <v>2948.903897999997</v>
      </c>
      <c r="Q140" s="218">
        <f>Q71+P140</f>
        <v>12317.373083333334</v>
      </c>
      <c r="R140" s="5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49"/>
      <c r="DA140" s="149"/>
      <c r="DB140" s="149"/>
      <c r="DC140" s="149"/>
      <c r="DD140" s="149"/>
      <c r="DE140" s="149"/>
      <c r="DF140" s="149"/>
      <c r="DG140" s="149"/>
      <c r="DH140" s="149"/>
      <c r="DI140" s="149"/>
      <c r="DJ140" s="149"/>
      <c r="DK140" s="149"/>
      <c r="DL140" s="149"/>
      <c r="DM140" s="149"/>
      <c r="DN140" s="149"/>
      <c r="DO140" s="149"/>
      <c r="DP140" s="149"/>
      <c r="DQ140" s="149"/>
      <c r="DR140" s="149"/>
      <c r="DS140" s="149"/>
      <c r="DT140" s="149"/>
      <c r="DU140" s="149"/>
      <c r="DV140" s="149"/>
      <c r="DW140" s="149"/>
      <c r="DX140" s="149"/>
      <c r="DY140" s="149"/>
      <c r="DZ140" s="149"/>
      <c r="EA140" s="149"/>
      <c r="EB140" s="149"/>
      <c r="EC140" s="149"/>
      <c r="ED140" s="149"/>
      <c r="EE140" s="149"/>
      <c r="EF140" s="149"/>
      <c r="EG140" s="149"/>
      <c r="EH140" s="149"/>
      <c r="EI140" s="149"/>
      <c r="EJ140" s="149"/>
      <c r="EK140" s="149"/>
      <c r="EL140" s="149"/>
      <c r="EM140" s="149"/>
      <c r="EN140" s="149"/>
    </row>
    <row r="141" spans="1:18" ht="12">
      <c r="A141" s="13"/>
      <c r="B141" s="13"/>
      <c r="C141" s="13"/>
      <c r="D141" s="13"/>
      <c r="E141" s="181"/>
      <c r="F141" s="182"/>
      <c r="G141" s="182"/>
      <c r="H141" s="178"/>
      <c r="I141" s="183"/>
      <c r="J141" s="180"/>
      <c r="K141" s="181"/>
      <c r="L141" s="183"/>
      <c r="M141" s="182"/>
      <c r="N141" s="178"/>
      <c r="O141" s="178"/>
      <c r="P141" s="178"/>
      <c r="Q141" s="158"/>
      <c r="R141" s="59"/>
    </row>
    <row r="142" spans="1:18" ht="12">
      <c r="A142" s="187" t="s">
        <v>188</v>
      </c>
      <c r="B142" s="13"/>
      <c r="C142" s="13"/>
      <c r="D142" s="13"/>
      <c r="E142" s="181"/>
      <c r="F142" s="182"/>
      <c r="G142" s="182"/>
      <c r="H142" s="178"/>
      <c r="I142" s="183"/>
      <c r="J142" s="180"/>
      <c r="K142" s="181"/>
      <c r="L142" s="183"/>
      <c r="M142" s="182"/>
      <c r="N142" s="178"/>
      <c r="O142" s="178"/>
      <c r="P142" s="178"/>
      <c r="Q142" s="158"/>
      <c r="R142" s="59"/>
    </row>
    <row r="143" spans="1:18" ht="12">
      <c r="A143" s="13" t="s">
        <v>149</v>
      </c>
      <c r="B143" s="13" t="s">
        <v>229</v>
      </c>
      <c r="C143" s="13"/>
      <c r="D143" s="13"/>
      <c r="E143" s="181"/>
      <c r="F143" s="182"/>
      <c r="G143" s="182"/>
      <c r="H143" s="178"/>
      <c r="I143" s="190"/>
      <c r="J143" s="180"/>
      <c r="K143" s="181"/>
      <c r="L143" s="178"/>
      <c r="M143" s="364">
        <f>30/5</f>
        <v>6</v>
      </c>
      <c r="N143" s="178">
        <f>Assumptions!G$29</f>
        <v>10.6</v>
      </c>
      <c r="O143" s="178">
        <f aca="true" t="shared" si="7" ref="O143:O150">+N143*M143</f>
        <v>63.599999999999994</v>
      </c>
      <c r="P143" s="178">
        <f aca="true" t="shared" si="8" ref="P143:P154">O143+L143+H143</f>
        <v>63.599999999999994</v>
      </c>
      <c r="Q143" s="158"/>
      <c r="R143" s="59"/>
    </row>
    <row r="144" spans="1:18" ht="12">
      <c r="A144" s="13" t="s">
        <v>149</v>
      </c>
      <c r="B144" s="13" t="s">
        <v>230</v>
      </c>
      <c r="C144" s="13"/>
      <c r="D144" s="13"/>
      <c r="E144" s="181"/>
      <c r="F144" s="182"/>
      <c r="G144" s="182"/>
      <c r="H144" s="178"/>
      <c r="I144" s="243">
        <f>Assumptions!G$32</f>
        <v>0.75</v>
      </c>
      <c r="J144" s="253" t="s">
        <v>276</v>
      </c>
      <c r="K144" s="245">
        <f>Assumptions!H11/6</f>
        <v>300</v>
      </c>
      <c r="L144" s="178">
        <f>+K144*I144</f>
        <v>225</v>
      </c>
      <c r="M144" s="364">
        <f>30/5</f>
        <v>6</v>
      </c>
      <c r="N144" s="178">
        <f>Assumptions!G$29</f>
        <v>10.6</v>
      </c>
      <c r="O144" s="178">
        <f t="shared" si="7"/>
        <v>63.599999999999994</v>
      </c>
      <c r="P144" s="178">
        <f t="shared" si="8"/>
        <v>288.6</v>
      </c>
      <c r="Q144" s="158"/>
      <c r="R144" s="59"/>
    </row>
    <row r="145" spans="1:18" ht="12">
      <c r="A145" s="13" t="s">
        <v>149</v>
      </c>
      <c r="B145" s="13" t="s">
        <v>189</v>
      </c>
      <c r="C145" s="13"/>
      <c r="D145" s="13"/>
      <c r="E145" s="181"/>
      <c r="F145" s="182"/>
      <c r="G145" s="182"/>
      <c r="H145" s="178"/>
      <c r="I145" s="190" t="s">
        <v>2</v>
      </c>
      <c r="J145" s="180" t="s">
        <v>2</v>
      </c>
      <c r="K145" s="181" t="s">
        <v>2</v>
      </c>
      <c r="L145" s="178"/>
      <c r="M145" s="246">
        <f>K144*Assumptions!G22</f>
        <v>180</v>
      </c>
      <c r="N145" s="243">
        <f>Assumptions!G30</f>
        <v>1.15</v>
      </c>
      <c r="O145" s="178">
        <f t="shared" si="7"/>
        <v>206.99999999999997</v>
      </c>
      <c r="P145" s="178">
        <f t="shared" si="8"/>
        <v>206.99999999999997</v>
      </c>
      <c r="Q145" s="158"/>
      <c r="R145" s="59"/>
    </row>
    <row r="146" spans="1:18" ht="12">
      <c r="A146" s="13" t="s">
        <v>156</v>
      </c>
      <c r="B146" s="13" t="s">
        <v>229</v>
      </c>
      <c r="C146" s="13"/>
      <c r="D146" s="13"/>
      <c r="E146" s="181"/>
      <c r="F146" s="182"/>
      <c r="G146" s="182"/>
      <c r="H146" s="178"/>
      <c r="I146" s="190"/>
      <c r="J146" s="180"/>
      <c r="K146" s="181"/>
      <c r="L146" s="178"/>
      <c r="M146" s="364">
        <f>40/5</f>
        <v>8</v>
      </c>
      <c r="N146" s="178">
        <f>Assumptions!G$29</f>
        <v>10.6</v>
      </c>
      <c r="O146" s="178">
        <f>+N146*M146</f>
        <v>84.8</v>
      </c>
      <c r="P146" s="178">
        <f t="shared" si="8"/>
        <v>84.8</v>
      </c>
      <c r="Q146" s="158"/>
      <c r="R146" s="59"/>
    </row>
    <row r="147" spans="1:18" ht="12">
      <c r="A147" s="13" t="s">
        <v>156</v>
      </c>
      <c r="B147" s="13" t="s">
        <v>230</v>
      </c>
      <c r="C147" s="13"/>
      <c r="D147" s="13"/>
      <c r="E147" s="181"/>
      <c r="F147" s="182"/>
      <c r="G147" s="182"/>
      <c r="H147" s="178"/>
      <c r="I147" s="243">
        <f>Assumptions!G$32</f>
        <v>0.75</v>
      </c>
      <c r="J147" s="253" t="s">
        <v>276</v>
      </c>
      <c r="K147" s="245">
        <f>Assumptions!H12/6</f>
        <v>450</v>
      </c>
      <c r="L147" s="178">
        <f>+K147*I147</f>
        <v>337.5</v>
      </c>
      <c r="M147" s="364">
        <f>40/5</f>
        <v>8</v>
      </c>
      <c r="N147" s="178">
        <f>Assumptions!G$29</f>
        <v>10.6</v>
      </c>
      <c r="O147" s="178">
        <f>+N147*M147</f>
        <v>84.8</v>
      </c>
      <c r="P147" s="178">
        <f t="shared" si="8"/>
        <v>422.3</v>
      </c>
      <c r="Q147" s="158"/>
      <c r="R147" s="59"/>
    </row>
    <row r="148" spans="1:18" ht="12">
      <c r="A148" s="13" t="s">
        <v>156</v>
      </c>
      <c r="B148" s="13" t="s">
        <v>189</v>
      </c>
      <c r="C148" s="13"/>
      <c r="D148" s="13"/>
      <c r="E148" s="181"/>
      <c r="F148" s="182"/>
      <c r="G148" s="182"/>
      <c r="H148" s="178"/>
      <c r="I148" s="190" t="s">
        <v>2</v>
      </c>
      <c r="J148" s="180" t="s">
        <v>2</v>
      </c>
      <c r="K148" s="181" t="s">
        <v>2</v>
      </c>
      <c r="L148" s="178"/>
      <c r="M148" s="246">
        <f>K147*Assumptions!G22</f>
        <v>270</v>
      </c>
      <c r="N148" s="243">
        <f>Assumptions!G30</f>
        <v>1.15</v>
      </c>
      <c r="O148" s="178">
        <f>+N148*M148</f>
        <v>310.5</v>
      </c>
      <c r="P148" s="178">
        <f t="shared" si="8"/>
        <v>310.5</v>
      </c>
      <c r="Q148" s="158"/>
      <c r="R148" s="59"/>
    </row>
    <row r="149" spans="1:18" ht="12">
      <c r="A149" s="13" t="s">
        <v>156</v>
      </c>
      <c r="B149" s="13" t="s">
        <v>190</v>
      </c>
      <c r="C149" s="13"/>
      <c r="D149" s="13"/>
      <c r="E149" s="181" t="s">
        <v>215</v>
      </c>
      <c r="F149" s="364">
        <v>2</v>
      </c>
      <c r="G149" s="182">
        <f>Machinery!V17</f>
        <v>7.206266666666667</v>
      </c>
      <c r="H149" s="178">
        <f>G149*F149</f>
        <v>14.412533333333334</v>
      </c>
      <c r="I149" s="183"/>
      <c r="J149" s="180" t="s">
        <v>2</v>
      </c>
      <c r="K149" s="181"/>
      <c r="L149" s="183"/>
      <c r="M149" s="364">
        <v>0.2</v>
      </c>
      <c r="N149" s="178">
        <f>Assumptions!G$28</f>
        <v>14</v>
      </c>
      <c r="O149" s="178">
        <f t="shared" si="7"/>
        <v>2.8000000000000003</v>
      </c>
      <c r="P149" s="178">
        <f t="shared" si="8"/>
        <v>17.212533333333333</v>
      </c>
      <c r="Q149" s="158"/>
      <c r="R149" s="59"/>
    </row>
    <row r="150" spans="1:18" ht="12">
      <c r="A150" s="13" t="s">
        <v>156</v>
      </c>
      <c r="B150" s="13" t="s">
        <v>247</v>
      </c>
      <c r="C150" s="13"/>
      <c r="D150" s="13"/>
      <c r="E150" s="6" t="s">
        <v>197</v>
      </c>
      <c r="F150" s="364">
        <v>0.65</v>
      </c>
      <c r="G150" s="182">
        <f>Machinery!U5+Machinery!U6</f>
        <v>20.65756</v>
      </c>
      <c r="H150" s="178">
        <f>G150*F150</f>
        <v>13.427414</v>
      </c>
      <c r="I150" s="366">
        <v>2.6</v>
      </c>
      <c r="J150" s="369" t="s">
        <v>35</v>
      </c>
      <c r="K150" s="368">
        <v>31</v>
      </c>
      <c r="L150" s="178">
        <f>+K150*I150</f>
        <v>80.60000000000001</v>
      </c>
      <c r="M150" s="182">
        <f>+F150*1.2</f>
        <v>0.78</v>
      </c>
      <c r="N150" s="178">
        <f>Assumptions!G$29</f>
        <v>10.6</v>
      </c>
      <c r="O150" s="178">
        <f t="shared" si="7"/>
        <v>8.268</v>
      </c>
      <c r="P150" s="178">
        <f t="shared" si="8"/>
        <v>102.29541400000001</v>
      </c>
      <c r="Q150" s="158"/>
      <c r="R150" s="59"/>
    </row>
    <row r="151" spans="1:18" ht="12">
      <c r="A151" s="13" t="s">
        <v>2</v>
      </c>
      <c r="B151" s="13" t="s">
        <v>2</v>
      </c>
      <c r="C151" s="13" t="s">
        <v>224</v>
      </c>
      <c r="D151" s="13"/>
      <c r="E151" s="6" t="s">
        <v>2</v>
      </c>
      <c r="F151" s="246" t="s">
        <v>2</v>
      </c>
      <c r="G151" s="182" t="s">
        <v>2</v>
      </c>
      <c r="H151" s="178"/>
      <c r="I151" s="366">
        <v>8.4</v>
      </c>
      <c r="J151" s="369" t="s">
        <v>26</v>
      </c>
      <c r="K151" s="368">
        <v>3</v>
      </c>
      <c r="L151" s="178">
        <f>+K151*I151</f>
        <v>25.200000000000003</v>
      </c>
      <c r="M151" s="182" t="s">
        <v>2</v>
      </c>
      <c r="N151" s="178" t="s">
        <v>2</v>
      </c>
      <c r="O151" s="178"/>
      <c r="P151" s="178">
        <f t="shared" si="8"/>
        <v>25.200000000000003</v>
      </c>
      <c r="Q151" s="158"/>
      <c r="R151" s="59"/>
    </row>
    <row r="152" spans="1:18" ht="12">
      <c r="A152" s="13" t="s">
        <v>156</v>
      </c>
      <c r="B152" s="13" t="s">
        <v>182</v>
      </c>
      <c r="C152" s="13"/>
      <c r="D152" s="13"/>
      <c r="E152" s="181" t="s">
        <v>283</v>
      </c>
      <c r="F152" s="364">
        <v>2</v>
      </c>
      <c r="G152" s="182">
        <f>Machinery!U15+Machinery!V17</f>
        <v>7.6348</v>
      </c>
      <c r="H152" s="178">
        <f>G152*F152</f>
        <v>15.2696</v>
      </c>
      <c r="I152" s="183"/>
      <c r="J152" s="180" t="s">
        <v>2</v>
      </c>
      <c r="K152" s="181"/>
      <c r="L152" s="183"/>
      <c r="M152" s="364">
        <v>1</v>
      </c>
      <c r="N152" s="178">
        <f>Assumptions!G$28</f>
        <v>14</v>
      </c>
      <c r="O152" s="178">
        <f>+N152*M152</f>
        <v>14</v>
      </c>
      <c r="P152" s="178">
        <f t="shared" si="8"/>
        <v>29.2696</v>
      </c>
      <c r="Q152" s="158"/>
      <c r="R152" s="59"/>
    </row>
    <row r="153" spans="1:18" ht="12">
      <c r="A153" s="13"/>
      <c r="B153" s="13"/>
      <c r="C153" s="13" t="s">
        <v>221</v>
      </c>
      <c r="D153" s="13"/>
      <c r="E153" s="181" t="s">
        <v>2</v>
      </c>
      <c r="F153" s="182"/>
      <c r="G153" s="182"/>
      <c r="H153" s="178"/>
      <c r="I153" s="366">
        <v>0.42</v>
      </c>
      <c r="J153" s="369" t="s">
        <v>26</v>
      </c>
      <c r="K153" s="368">
        <v>33.87</v>
      </c>
      <c r="L153" s="183">
        <f>+K153*I153</f>
        <v>14.225399999999999</v>
      </c>
      <c r="M153" s="182"/>
      <c r="N153" s="178"/>
      <c r="O153" s="178"/>
      <c r="P153" s="178">
        <f t="shared" si="8"/>
        <v>14.225399999999999</v>
      </c>
      <c r="Q153" s="158"/>
      <c r="R153" s="59"/>
    </row>
    <row r="154" spans="1:18" ht="12">
      <c r="A154" s="13"/>
      <c r="B154" s="13"/>
      <c r="C154" s="13" t="s">
        <v>183</v>
      </c>
      <c r="D154" s="13"/>
      <c r="E154" s="181"/>
      <c r="F154" s="182"/>
      <c r="G154" s="182"/>
      <c r="H154" s="178"/>
      <c r="I154" s="366">
        <v>0.32</v>
      </c>
      <c r="J154" s="369" t="s">
        <v>26</v>
      </c>
      <c r="K154" s="368">
        <v>10</v>
      </c>
      <c r="L154" s="183">
        <f>+K154*I154</f>
        <v>3.2</v>
      </c>
      <c r="M154" s="182"/>
      <c r="N154" s="178"/>
      <c r="O154" s="178"/>
      <c r="P154" s="178">
        <f t="shared" si="8"/>
        <v>3.2</v>
      </c>
      <c r="Q154" s="158"/>
      <c r="R154" s="59"/>
    </row>
    <row r="155" spans="1:144" s="157" customFormat="1" ht="12">
      <c r="A155" s="207" t="s">
        <v>191</v>
      </c>
      <c r="B155" s="207"/>
      <c r="C155" s="207"/>
      <c r="D155" s="207"/>
      <c r="E155" s="208"/>
      <c r="F155" s="209"/>
      <c r="G155" s="209"/>
      <c r="H155" s="210">
        <f>SUM(H125:H154)-H140</f>
        <v>296.77917533333334</v>
      </c>
      <c r="I155" s="224"/>
      <c r="J155" s="211"/>
      <c r="K155" s="208"/>
      <c r="L155" s="210">
        <f>SUM(L125:L154)-L140</f>
        <v>950.7641999999994</v>
      </c>
      <c r="M155" s="240">
        <f>SUM(M125:M154)-M140</f>
        <v>492.03999999999996</v>
      </c>
      <c r="N155" s="210"/>
      <c r="O155" s="210">
        <f>SUM(O125:O154)-O140</f>
        <v>1001.204</v>
      </c>
      <c r="P155" s="210">
        <f>SUM(P125:P154)-P140</f>
        <v>2248.7473753333334</v>
      </c>
      <c r="Q155" s="210">
        <f>Q123+P155</f>
        <v>13885.576030666667</v>
      </c>
      <c r="R155" s="5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49"/>
      <c r="DA155" s="149"/>
      <c r="DB155" s="149"/>
      <c r="DC155" s="149"/>
      <c r="DD155" s="149"/>
      <c r="DE155" s="149"/>
      <c r="DF155" s="149"/>
      <c r="DG155" s="149"/>
      <c r="DH155" s="149"/>
      <c r="DI155" s="149"/>
      <c r="DJ155" s="149"/>
      <c r="DK155" s="149"/>
      <c r="DL155" s="149"/>
      <c r="DM155" s="149"/>
      <c r="DN155" s="149"/>
      <c r="DO155" s="149"/>
      <c r="DP155" s="149"/>
      <c r="DQ155" s="149"/>
      <c r="DR155" s="149"/>
      <c r="DS155" s="149"/>
      <c r="DT155" s="149"/>
      <c r="DU155" s="149"/>
      <c r="DV155" s="149"/>
      <c r="DW155" s="149"/>
      <c r="DX155" s="149"/>
      <c r="DY155" s="149"/>
      <c r="DZ155" s="149"/>
      <c r="EA155" s="149"/>
      <c r="EB155" s="149"/>
      <c r="EC155" s="149"/>
      <c r="ED155" s="149"/>
      <c r="EE155" s="149"/>
      <c r="EF155" s="149"/>
      <c r="EG155" s="149"/>
      <c r="EH155" s="149"/>
      <c r="EI155" s="149"/>
      <c r="EJ155" s="149"/>
      <c r="EK155" s="149"/>
      <c r="EL155" s="149"/>
      <c r="EM155" s="149"/>
      <c r="EN155" s="149"/>
    </row>
    <row r="156" spans="1:18" ht="12">
      <c r="A156" s="136" t="s">
        <v>17</v>
      </c>
      <c r="B156" s="13"/>
      <c r="C156" s="13"/>
      <c r="D156" s="13"/>
      <c r="E156" s="181"/>
      <c r="F156" s="182"/>
      <c r="G156" s="182"/>
      <c r="H156" s="178" t="s">
        <v>2</v>
      </c>
      <c r="I156" s="178"/>
      <c r="J156" s="180"/>
      <c r="K156" s="181"/>
      <c r="L156" s="178"/>
      <c r="M156" s="182"/>
      <c r="N156" s="178"/>
      <c r="O156" s="178"/>
      <c r="P156" s="178"/>
      <c r="Q156" s="158" t="s">
        <v>2</v>
      </c>
      <c r="R156" s="59"/>
    </row>
    <row r="157" spans="1:18" ht="12">
      <c r="A157" s="13" t="s">
        <v>147</v>
      </c>
      <c r="B157" s="13" t="s">
        <v>160</v>
      </c>
      <c r="C157" s="13"/>
      <c r="D157" s="13"/>
      <c r="E157" s="181" t="s">
        <v>142</v>
      </c>
      <c r="F157" s="182"/>
      <c r="G157" s="182"/>
      <c r="H157" s="178"/>
      <c r="I157" s="366">
        <v>7</v>
      </c>
      <c r="J157" s="369" t="s">
        <v>161</v>
      </c>
      <c r="K157" s="368">
        <v>1</v>
      </c>
      <c r="L157" s="178">
        <f>+K157*I157</f>
        <v>7</v>
      </c>
      <c r="M157" s="364">
        <v>0.5</v>
      </c>
      <c r="N157" s="178">
        <f>Assumptions!G$29</f>
        <v>10.6</v>
      </c>
      <c r="O157" s="178">
        <f>+N157*M157</f>
        <v>5.3</v>
      </c>
      <c r="P157" s="178">
        <f aca="true" t="shared" si="9" ref="P157:P181">O157+L157+H157</f>
        <v>12.3</v>
      </c>
      <c r="Q157" s="158" t="s">
        <v>2</v>
      </c>
      <c r="R157" s="59" t="s">
        <v>2</v>
      </c>
    </row>
    <row r="158" spans="1:18" ht="12">
      <c r="A158" s="13" t="s">
        <v>147</v>
      </c>
      <c r="B158" s="13" t="s">
        <v>182</v>
      </c>
      <c r="C158" s="13"/>
      <c r="D158" s="13"/>
      <c r="E158" s="181" t="s">
        <v>283</v>
      </c>
      <c r="F158" s="364">
        <v>2</v>
      </c>
      <c r="G158" s="182">
        <f>Machinery!U15+Machinery!V17</f>
        <v>7.6348</v>
      </c>
      <c r="H158" s="178">
        <f>G158*F158</f>
        <v>15.2696</v>
      </c>
      <c r="I158" s="183"/>
      <c r="J158" s="180" t="s">
        <v>2</v>
      </c>
      <c r="K158" s="181"/>
      <c r="L158" s="183"/>
      <c r="M158" s="364">
        <v>1</v>
      </c>
      <c r="N158" s="178">
        <f>Assumptions!G$28</f>
        <v>14</v>
      </c>
      <c r="O158" s="178">
        <f>+N158*M158</f>
        <v>14</v>
      </c>
      <c r="P158" s="178">
        <f t="shared" si="9"/>
        <v>29.2696</v>
      </c>
      <c r="Q158" s="158"/>
      <c r="R158" s="59"/>
    </row>
    <row r="159" spans="1:18" ht="12">
      <c r="A159" s="13"/>
      <c r="B159" s="13"/>
      <c r="C159" s="13" t="s">
        <v>227</v>
      </c>
      <c r="D159" s="13"/>
      <c r="E159" s="181" t="s">
        <v>2</v>
      </c>
      <c r="F159" s="182"/>
      <c r="G159" s="182"/>
      <c r="H159" s="178"/>
      <c r="I159" s="366">
        <v>0.88</v>
      </c>
      <c r="J159" s="369" t="s">
        <v>26</v>
      </c>
      <c r="K159" s="368">
        <v>53.85</v>
      </c>
      <c r="L159" s="183">
        <f>+K159*I159</f>
        <v>47.388</v>
      </c>
      <c r="M159" s="182"/>
      <c r="N159" s="178"/>
      <c r="O159" s="178"/>
      <c r="P159" s="178">
        <f t="shared" si="9"/>
        <v>47.388</v>
      </c>
      <c r="Q159" s="158"/>
      <c r="R159" s="59"/>
    </row>
    <row r="160" spans="1:18" ht="12">
      <c r="A160" s="13" t="s">
        <v>147</v>
      </c>
      <c r="B160" s="13" t="s">
        <v>190</v>
      </c>
      <c r="C160" s="13"/>
      <c r="D160" s="13"/>
      <c r="E160" s="181" t="s">
        <v>215</v>
      </c>
      <c r="F160" s="364">
        <v>2</v>
      </c>
      <c r="G160" s="182">
        <f>Machinery!V17</f>
        <v>7.206266666666667</v>
      </c>
      <c r="H160" s="178">
        <f>G160*F160</f>
        <v>14.412533333333334</v>
      </c>
      <c r="I160" s="183"/>
      <c r="J160" s="180" t="s">
        <v>2</v>
      </c>
      <c r="K160" s="181"/>
      <c r="L160" s="183"/>
      <c r="M160" s="364">
        <v>0.2</v>
      </c>
      <c r="N160" s="178">
        <f>Assumptions!G$28</f>
        <v>14</v>
      </c>
      <c r="O160" s="178">
        <f>+N160*M160</f>
        <v>2.8000000000000003</v>
      </c>
      <c r="P160" s="178">
        <f t="shared" si="9"/>
        <v>17.212533333333333</v>
      </c>
      <c r="Q160" s="158"/>
      <c r="R160" s="59"/>
    </row>
    <row r="161" spans="1:18" ht="12">
      <c r="A161" s="13" t="s">
        <v>147</v>
      </c>
      <c r="B161" s="13" t="s">
        <v>248</v>
      </c>
      <c r="C161" s="13"/>
      <c r="D161" s="13"/>
      <c r="E161" s="6" t="s">
        <v>197</v>
      </c>
      <c r="F161" s="364">
        <v>0.65</v>
      </c>
      <c r="G161" s="182">
        <f>Machinery!U5+Machinery!U6</f>
        <v>20.65756</v>
      </c>
      <c r="H161" s="178">
        <f>G161*F161</f>
        <v>13.427414</v>
      </c>
      <c r="I161" s="366">
        <v>5.35</v>
      </c>
      <c r="J161" s="369" t="s">
        <v>35</v>
      </c>
      <c r="K161" s="368">
        <v>10</v>
      </c>
      <c r="L161" s="178">
        <f>+K161*I161</f>
        <v>53.5</v>
      </c>
      <c r="M161" s="182">
        <f>+F161*1.2</f>
        <v>0.78</v>
      </c>
      <c r="N161" s="178">
        <f>Assumptions!G$29</f>
        <v>10.6</v>
      </c>
      <c r="O161" s="178">
        <f>+N161*M161</f>
        <v>8.268</v>
      </c>
      <c r="P161" s="178">
        <f t="shared" si="9"/>
        <v>75.195414</v>
      </c>
      <c r="Q161" s="158"/>
      <c r="R161" s="59"/>
    </row>
    <row r="162" spans="1:18" ht="12">
      <c r="A162" s="13" t="s">
        <v>2</v>
      </c>
      <c r="B162" s="13" t="s">
        <v>2</v>
      </c>
      <c r="C162" s="13" t="s">
        <v>225</v>
      </c>
      <c r="D162" s="13"/>
      <c r="E162" s="6" t="s">
        <v>2</v>
      </c>
      <c r="F162" s="246" t="s">
        <v>2</v>
      </c>
      <c r="G162" s="182" t="s">
        <v>2</v>
      </c>
      <c r="H162" s="178"/>
      <c r="I162" s="366">
        <v>51</v>
      </c>
      <c r="J162" s="369" t="s">
        <v>26</v>
      </c>
      <c r="K162" s="368">
        <v>1.5</v>
      </c>
      <c r="L162" s="178">
        <f>+K162*I162</f>
        <v>76.5</v>
      </c>
      <c r="M162" s="182" t="s">
        <v>2</v>
      </c>
      <c r="N162" s="178" t="s">
        <v>2</v>
      </c>
      <c r="O162" s="178"/>
      <c r="P162" s="178">
        <f t="shared" si="9"/>
        <v>76.5</v>
      </c>
      <c r="Q162" s="158"/>
      <c r="R162" s="59"/>
    </row>
    <row r="163" spans="1:18" ht="12">
      <c r="A163" s="13" t="s">
        <v>147</v>
      </c>
      <c r="B163" s="13" t="s">
        <v>229</v>
      </c>
      <c r="C163" s="13"/>
      <c r="D163" s="13"/>
      <c r="E163" s="181"/>
      <c r="F163" s="182"/>
      <c r="G163" s="182"/>
      <c r="H163" s="178"/>
      <c r="I163" s="190"/>
      <c r="J163" s="180"/>
      <c r="K163" s="181"/>
      <c r="L163" s="178"/>
      <c r="M163" s="364">
        <f>50/5</f>
        <v>10</v>
      </c>
      <c r="N163" s="178">
        <f>Assumptions!G$29</f>
        <v>10.6</v>
      </c>
      <c r="O163" s="178">
        <f>+N163*M163</f>
        <v>106</v>
      </c>
      <c r="P163" s="178">
        <f t="shared" si="9"/>
        <v>106</v>
      </c>
      <c r="Q163" s="158"/>
      <c r="R163" s="59"/>
    </row>
    <row r="164" spans="1:18" ht="12">
      <c r="A164" s="13" t="s">
        <v>147</v>
      </c>
      <c r="B164" s="13" t="s">
        <v>230</v>
      </c>
      <c r="C164" s="13"/>
      <c r="D164" s="13"/>
      <c r="E164" s="181"/>
      <c r="F164" s="182"/>
      <c r="G164" s="182"/>
      <c r="H164" s="178"/>
      <c r="I164" s="243">
        <f>Assumptions!G$32</f>
        <v>0.75</v>
      </c>
      <c r="J164" s="253" t="s">
        <v>276</v>
      </c>
      <c r="K164" s="245">
        <f>Assumptions!H13/6</f>
        <v>750</v>
      </c>
      <c r="L164" s="178">
        <f>+K164*I164</f>
        <v>562.5</v>
      </c>
      <c r="M164" s="364">
        <f>50/5</f>
        <v>10</v>
      </c>
      <c r="N164" s="178">
        <f>Assumptions!G$29</f>
        <v>10.6</v>
      </c>
      <c r="O164" s="178">
        <f>+N164*M164</f>
        <v>106</v>
      </c>
      <c r="P164" s="178">
        <f t="shared" si="9"/>
        <v>668.5</v>
      </c>
      <c r="Q164" s="158"/>
      <c r="R164" s="59"/>
    </row>
    <row r="165" spans="1:18" ht="12">
      <c r="A165" s="13" t="s">
        <v>147</v>
      </c>
      <c r="B165" s="13" t="s">
        <v>189</v>
      </c>
      <c r="C165" s="13"/>
      <c r="D165" s="13"/>
      <c r="E165" s="181"/>
      <c r="F165" s="182"/>
      <c r="G165" s="182"/>
      <c r="H165" s="178"/>
      <c r="I165" s="190" t="s">
        <v>2</v>
      </c>
      <c r="J165" s="180" t="s">
        <v>2</v>
      </c>
      <c r="K165" s="181" t="s">
        <v>2</v>
      </c>
      <c r="L165" s="178"/>
      <c r="M165" s="246">
        <f>K164*Assumptions!G22</f>
        <v>450</v>
      </c>
      <c r="N165" s="243">
        <f>Assumptions!G30</f>
        <v>1.15</v>
      </c>
      <c r="O165" s="178">
        <f>+N165*M165</f>
        <v>517.5</v>
      </c>
      <c r="P165" s="178">
        <f t="shared" si="9"/>
        <v>517.5</v>
      </c>
      <c r="Q165" s="158"/>
      <c r="R165" s="59"/>
    </row>
    <row r="166" spans="1:18" ht="12">
      <c r="A166" s="13" t="s">
        <v>143</v>
      </c>
      <c r="B166" s="13" t="s">
        <v>182</v>
      </c>
      <c r="C166" s="13"/>
      <c r="D166" s="13"/>
      <c r="E166" s="181" t="s">
        <v>283</v>
      </c>
      <c r="F166" s="364">
        <v>2</v>
      </c>
      <c r="G166" s="182">
        <f>Machinery!U15+Machinery!V17</f>
        <v>7.6348</v>
      </c>
      <c r="H166" s="178">
        <f>G166*F166</f>
        <v>15.2696</v>
      </c>
      <c r="I166" s="183"/>
      <c r="J166" s="180" t="s">
        <v>2</v>
      </c>
      <c r="K166" s="181"/>
      <c r="L166" s="183"/>
      <c r="M166" s="364">
        <v>1</v>
      </c>
      <c r="N166" s="178">
        <f>Assumptions!G$28</f>
        <v>14</v>
      </c>
      <c r="O166" s="178">
        <f>+N166*M166</f>
        <v>14</v>
      </c>
      <c r="P166" s="178">
        <f t="shared" si="9"/>
        <v>29.2696</v>
      </c>
      <c r="Q166" s="158"/>
      <c r="R166" s="59"/>
    </row>
    <row r="167" spans="1:18" ht="12">
      <c r="A167" s="13"/>
      <c r="B167" s="13"/>
      <c r="C167" s="13" t="s">
        <v>221</v>
      </c>
      <c r="D167" s="13"/>
      <c r="E167" s="181" t="s">
        <v>2</v>
      </c>
      <c r="F167" s="182"/>
      <c r="G167" s="182"/>
      <c r="H167" s="178"/>
      <c r="I167" s="366">
        <v>0.42</v>
      </c>
      <c r="J167" s="369" t="s">
        <v>26</v>
      </c>
      <c r="K167" s="368">
        <v>33.87</v>
      </c>
      <c r="L167" s="183">
        <f>+K167*I167</f>
        <v>14.225399999999999</v>
      </c>
      <c r="M167" s="182"/>
      <c r="N167" s="178"/>
      <c r="O167" s="178"/>
      <c r="P167" s="178">
        <f t="shared" si="9"/>
        <v>14.225399999999999</v>
      </c>
      <c r="Q167" s="158"/>
      <c r="R167" s="59"/>
    </row>
    <row r="168" spans="1:18" ht="12">
      <c r="A168" s="13" t="s">
        <v>143</v>
      </c>
      <c r="B168" s="13" t="s">
        <v>192</v>
      </c>
      <c r="C168" s="13"/>
      <c r="D168" s="13"/>
      <c r="E168" s="181" t="s">
        <v>215</v>
      </c>
      <c r="F168" s="364">
        <v>2</v>
      </c>
      <c r="G168" s="182">
        <f>Machinery!V17</f>
        <v>7.206266666666667</v>
      </c>
      <c r="H168" s="178">
        <f>G168*F168</f>
        <v>14.412533333333334</v>
      </c>
      <c r="I168" s="183"/>
      <c r="J168" s="180" t="s">
        <v>2</v>
      </c>
      <c r="K168" s="181"/>
      <c r="L168" s="183"/>
      <c r="M168" s="364">
        <v>0.2</v>
      </c>
      <c r="N168" s="178">
        <f>Assumptions!G$28</f>
        <v>14</v>
      </c>
      <c r="O168" s="178">
        <f aca="true" t="shared" si="10" ref="O168:O181">+N168*M168</f>
        <v>2.8000000000000003</v>
      </c>
      <c r="P168" s="178">
        <f t="shared" si="9"/>
        <v>17.212533333333333</v>
      </c>
      <c r="Q168" s="158"/>
      <c r="R168" s="59"/>
    </row>
    <row r="169" spans="1:18" ht="12">
      <c r="A169" s="13" t="s">
        <v>143</v>
      </c>
      <c r="B169" s="13" t="s">
        <v>229</v>
      </c>
      <c r="C169" s="13"/>
      <c r="D169" s="13"/>
      <c r="E169" s="181"/>
      <c r="F169" s="182"/>
      <c r="G169" s="182"/>
      <c r="H169" s="178"/>
      <c r="I169" s="190"/>
      <c r="J169" s="180"/>
      <c r="K169" s="181"/>
      <c r="L169" s="178"/>
      <c r="M169" s="364">
        <f>60/5</f>
        <v>12</v>
      </c>
      <c r="N169" s="178">
        <f>Assumptions!G$29</f>
        <v>10.6</v>
      </c>
      <c r="O169" s="178">
        <f t="shared" si="10"/>
        <v>127.19999999999999</v>
      </c>
      <c r="P169" s="178">
        <f t="shared" si="9"/>
        <v>127.19999999999999</v>
      </c>
      <c r="Q169" s="158"/>
      <c r="R169" s="59"/>
    </row>
    <row r="170" spans="1:18" ht="12">
      <c r="A170" s="13" t="s">
        <v>143</v>
      </c>
      <c r="B170" s="13" t="s">
        <v>230</v>
      </c>
      <c r="C170" s="13"/>
      <c r="D170" s="13"/>
      <c r="E170" s="181"/>
      <c r="F170" s="182"/>
      <c r="G170" s="182"/>
      <c r="H170" s="178"/>
      <c r="I170" s="243">
        <f>Assumptions!G$32</f>
        <v>0.75</v>
      </c>
      <c r="J170" s="253" t="s">
        <v>276</v>
      </c>
      <c r="K170" s="245">
        <f>Assumptions!H14/6</f>
        <v>600</v>
      </c>
      <c r="L170" s="178">
        <f>+K170*I170</f>
        <v>450</v>
      </c>
      <c r="M170" s="364">
        <f>60/5</f>
        <v>12</v>
      </c>
      <c r="N170" s="178">
        <f>Assumptions!G$29</f>
        <v>10.6</v>
      </c>
      <c r="O170" s="178">
        <f t="shared" si="10"/>
        <v>127.19999999999999</v>
      </c>
      <c r="P170" s="178">
        <f t="shared" si="9"/>
        <v>577.2</v>
      </c>
      <c r="Q170" s="158"/>
      <c r="R170" s="59"/>
    </row>
    <row r="171" spans="1:18" ht="12">
      <c r="A171" s="13" t="s">
        <v>143</v>
      </c>
      <c r="B171" s="13" t="s">
        <v>189</v>
      </c>
      <c r="C171" s="13"/>
      <c r="D171" s="13"/>
      <c r="E171" s="181"/>
      <c r="F171" s="182"/>
      <c r="G171" s="182"/>
      <c r="H171" s="178"/>
      <c r="I171" s="190" t="s">
        <v>2</v>
      </c>
      <c r="J171" s="180" t="s">
        <v>2</v>
      </c>
      <c r="K171" s="181" t="s">
        <v>2</v>
      </c>
      <c r="L171" s="178"/>
      <c r="M171" s="246">
        <f>K170*Assumptions!G22</f>
        <v>360</v>
      </c>
      <c r="N171" s="243">
        <f>Assumptions!G30</f>
        <v>1.15</v>
      </c>
      <c r="O171" s="178">
        <f t="shared" si="10"/>
        <v>413.99999999999994</v>
      </c>
      <c r="P171" s="178">
        <f t="shared" si="9"/>
        <v>413.99999999999994</v>
      </c>
      <c r="Q171" s="158"/>
      <c r="R171" s="59"/>
    </row>
    <row r="172" spans="1:18" ht="12">
      <c r="A172" s="13" t="s">
        <v>249</v>
      </c>
      <c r="B172" s="13" t="s">
        <v>192</v>
      </c>
      <c r="C172" s="13"/>
      <c r="D172" s="13"/>
      <c r="E172" s="181" t="s">
        <v>215</v>
      </c>
      <c r="F172" s="364">
        <v>4</v>
      </c>
      <c r="G172" s="182">
        <f>Machinery!V17</f>
        <v>7.206266666666667</v>
      </c>
      <c r="H172" s="178">
        <f>G172*F172</f>
        <v>28.825066666666668</v>
      </c>
      <c r="I172" s="183"/>
      <c r="J172" s="180" t="s">
        <v>2</v>
      </c>
      <c r="K172" s="181"/>
      <c r="L172" s="183"/>
      <c r="M172" s="364">
        <v>0.4</v>
      </c>
      <c r="N172" s="178">
        <f>Assumptions!G$28</f>
        <v>14</v>
      </c>
      <c r="O172" s="178">
        <f t="shared" si="10"/>
        <v>5.6000000000000005</v>
      </c>
      <c r="P172" s="178">
        <f t="shared" si="9"/>
        <v>34.425066666666666</v>
      </c>
      <c r="Q172" s="158"/>
      <c r="R172" s="59"/>
    </row>
    <row r="173" spans="1:18" ht="12">
      <c r="A173" s="13" t="s">
        <v>249</v>
      </c>
      <c r="B173" s="13" t="s">
        <v>229</v>
      </c>
      <c r="C173" s="13"/>
      <c r="D173" s="13"/>
      <c r="E173" s="181"/>
      <c r="F173" s="182"/>
      <c r="G173" s="182"/>
      <c r="H173" s="178"/>
      <c r="I173" s="190"/>
      <c r="J173" s="180"/>
      <c r="K173" s="181"/>
      <c r="L173" s="178"/>
      <c r="M173" s="364">
        <f>50/5</f>
        <v>10</v>
      </c>
      <c r="N173" s="178">
        <f>Assumptions!G$29</f>
        <v>10.6</v>
      </c>
      <c r="O173" s="178">
        <f t="shared" si="10"/>
        <v>106</v>
      </c>
      <c r="P173" s="178">
        <f t="shared" si="9"/>
        <v>106</v>
      </c>
      <c r="Q173" s="158"/>
      <c r="R173" s="59"/>
    </row>
    <row r="174" spans="1:18" ht="12">
      <c r="A174" s="13" t="s">
        <v>249</v>
      </c>
      <c r="B174" s="13" t="s">
        <v>230</v>
      </c>
      <c r="C174" s="13"/>
      <c r="D174" s="13"/>
      <c r="E174" s="181"/>
      <c r="F174" s="182"/>
      <c r="G174" s="182"/>
      <c r="H174" s="178"/>
      <c r="I174" s="243">
        <f>Assumptions!G$32</f>
        <v>0.75</v>
      </c>
      <c r="J174" s="253" t="s">
        <v>276</v>
      </c>
      <c r="K174" s="245">
        <f>Assumptions!H15/6</f>
        <v>450</v>
      </c>
      <c r="L174" s="178">
        <f>+K174*I174</f>
        <v>337.5</v>
      </c>
      <c r="M174" s="364">
        <f>50/5</f>
        <v>10</v>
      </c>
      <c r="N174" s="178">
        <f>Assumptions!G$29</f>
        <v>10.6</v>
      </c>
      <c r="O174" s="178">
        <f t="shared" si="10"/>
        <v>106</v>
      </c>
      <c r="P174" s="178">
        <f t="shared" si="9"/>
        <v>443.5</v>
      </c>
      <c r="Q174" s="158"/>
      <c r="R174" s="59"/>
    </row>
    <row r="175" spans="1:18" ht="12">
      <c r="A175" s="13" t="s">
        <v>249</v>
      </c>
      <c r="B175" s="13" t="s">
        <v>189</v>
      </c>
      <c r="C175" s="13"/>
      <c r="D175" s="13"/>
      <c r="E175" s="181"/>
      <c r="F175" s="182"/>
      <c r="G175" s="182"/>
      <c r="H175" s="178"/>
      <c r="I175" s="190" t="s">
        <v>2</v>
      </c>
      <c r="J175" s="180" t="s">
        <v>2</v>
      </c>
      <c r="K175" s="181" t="s">
        <v>2</v>
      </c>
      <c r="L175" s="178"/>
      <c r="M175" s="246">
        <f>K174*Assumptions!G22</f>
        <v>270</v>
      </c>
      <c r="N175" s="243">
        <f>Assumptions!G30</f>
        <v>1.15</v>
      </c>
      <c r="O175" s="178">
        <f t="shared" si="10"/>
        <v>310.5</v>
      </c>
      <c r="P175" s="178">
        <f t="shared" si="9"/>
        <v>310.5</v>
      </c>
      <c r="Q175" s="158"/>
      <c r="R175" s="59"/>
    </row>
    <row r="176" spans="1:18" ht="12">
      <c r="A176" s="13" t="s">
        <v>149</v>
      </c>
      <c r="B176" s="13" t="s">
        <v>225</v>
      </c>
      <c r="C176" s="13"/>
      <c r="D176" s="13"/>
      <c r="E176" s="6" t="s">
        <v>197</v>
      </c>
      <c r="F176" s="364">
        <v>0.65</v>
      </c>
      <c r="G176" s="182">
        <f>Machinery!U5+Machinery!U6</f>
        <v>20.65756</v>
      </c>
      <c r="H176" s="178">
        <f>G176*F176</f>
        <v>13.427414</v>
      </c>
      <c r="I176" s="366">
        <v>51</v>
      </c>
      <c r="J176" s="369" t="s">
        <v>26</v>
      </c>
      <c r="K176" s="368">
        <v>1.5</v>
      </c>
      <c r="L176" s="178">
        <f>+K176*I176</f>
        <v>76.5</v>
      </c>
      <c r="M176" s="182">
        <f>+F176*1.2</f>
        <v>0.78</v>
      </c>
      <c r="N176" s="178">
        <f>Assumptions!G$29</f>
        <v>10.6</v>
      </c>
      <c r="O176" s="178">
        <f t="shared" si="10"/>
        <v>8.268</v>
      </c>
      <c r="P176" s="178">
        <f t="shared" si="9"/>
        <v>98.195414</v>
      </c>
      <c r="Q176" s="158"/>
      <c r="R176" s="59"/>
    </row>
    <row r="177" spans="1:18" ht="12">
      <c r="A177" s="13" t="s">
        <v>156</v>
      </c>
      <c r="B177" s="13" t="s">
        <v>192</v>
      </c>
      <c r="C177" s="13"/>
      <c r="D177" s="13"/>
      <c r="E177" s="181" t="s">
        <v>215</v>
      </c>
      <c r="F177" s="364">
        <v>4</v>
      </c>
      <c r="G177" s="182">
        <f>Machinery!V17</f>
        <v>7.206266666666667</v>
      </c>
      <c r="H177" s="178">
        <f>G177*F177</f>
        <v>28.825066666666668</v>
      </c>
      <c r="I177" s="183"/>
      <c r="J177" s="180" t="s">
        <v>2</v>
      </c>
      <c r="K177" s="181"/>
      <c r="L177" s="183"/>
      <c r="M177" s="364">
        <v>0.4</v>
      </c>
      <c r="N177" s="178">
        <f>Assumptions!G$28</f>
        <v>14</v>
      </c>
      <c r="O177" s="178">
        <f t="shared" si="10"/>
        <v>5.6000000000000005</v>
      </c>
      <c r="P177" s="178">
        <f t="shared" si="9"/>
        <v>34.425066666666666</v>
      </c>
      <c r="Q177" s="158"/>
      <c r="R177" s="59"/>
    </row>
    <row r="178" spans="1:18" ht="12">
      <c r="A178" s="13" t="s">
        <v>156</v>
      </c>
      <c r="B178" s="13" t="s">
        <v>229</v>
      </c>
      <c r="C178" s="13"/>
      <c r="D178" s="13"/>
      <c r="E178" s="181"/>
      <c r="F178" s="182"/>
      <c r="G178" s="182"/>
      <c r="H178" s="178"/>
      <c r="I178" s="190"/>
      <c r="J178" s="180"/>
      <c r="K178" s="181"/>
      <c r="L178" s="178"/>
      <c r="M178" s="364">
        <f>30/5</f>
        <v>6</v>
      </c>
      <c r="N178" s="178">
        <f>Assumptions!G$29</f>
        <v>10.6</v>
      </c>
      <c r="O178" s="178">
        <f t="shared" si="10"/>
        <v>63.599999999999994</v>
      </c>
      <c r="P178" s="178">
        <f t="shared" si="9"/>
        <v>63.599999999999994</v>
      </c>
      <c r="Q178" s="158"/>
      <c r="R178" s="59"/>
    </row>
    <row r="179" spans="1:18" ht="12">
      <c r="A179" s="13" t="s">
        <v>156</v>
      </c>
      <c r="B179" s="13" t="s">
        <v>230</v>
      </c>
      <c r="C179" s="13"/>
      <c r="D179" s="13"/>
      <c r="E179" s="181"/>
      <c r="F179" s="182"/>
      <c r="G179" s="182"/>
      <c r="H179" s="178"/>
      <c r="I179" s="243">
        <f>Assumptions!G$32</f>
        <v>0.75</v>
      </c>
      <c r="J179" s="253" t="s">
        <v>276</v>
      </c>
      <c r="K179" s="245">
        <f>Assumptions!H16/6</f>
        <v>450</v>
      </c>
      <c r="L179" s="178">
        <f>+K179*I179</f>
        <v>337.5</v>
      </c>
      <c r="M179" s="364">
        <f>30/5</f>
        <v>6</v>
      </c>
      <c r="N179" s="178">
        <f>Assumptions!G$29</f>
        <v>10.6</v>
      </c>
      <c r="O179" s="178">
        <f t="shared" si="10"/>
        <v>63.599999999999994</v>
      </c>
      <c r="P179" s="178">
        <f t="shared" si="9"/>
        <v>401.1</v>
      </c>
      <c r="Q179" s="158"/>
      <c r="R179" s="59"/>
    </row>
    <row r="180" spans="1:18" ht="12">
      <c r="A180" s="13" t="s">
        <v>156</v>
      </c>
      <c r="B180" s="13" t="s">
        <v>189</v>
      </c>
      <c r="C180" s="13"/>
      <c r="D180" s="13"/>
      <c r="E180" s="181"/>
      <c r="F180" s="182"/>
      <c r="G180" s="182"/>
      <c r="H180" s="178"/>
      <c r="I180" s="190" t="s">
        <v>2</v>
      </c>
      <c r="J180" s="180" t="s">
        <v>2</v>
      </c>
      <c r="K180" s="181" t="s">
        <v>2</v>
      </c>
      <c r="L180" s="178"/>
      <c r="M180" s="246">
        <f>K179*Assumptions!G22</f>
        <v>270</v>
      </c>
      <c r="N180" s="243">
        <f>Assumptions!G30</f>
        <v>1.15</v>
      </c>
      <c r="O180" s="178">
        <f t="shared" si="10"/>
        <v>310.5</v>
      </c>
      <c r="P180" s="178">
        <f t="shared" si="9"/>
        <v>310.5</v>
      </c>
      <c r="Q180" s="158"/>
      <c r="R180" s="59"/>
    </row>
    <row r="181" spans="1:18" ht="12">
      <c r="A181" s="13" t="s">
        <v>156</v>
      </c>
      <c r="B181" s="13" t="s">
        <v>193</v>
      </c>
      <c r="C181" s="13"/>
      <c r="D181" s="13"/>
      <c r="E181" s="181"/>
      <c r="F181" s="182"/>
      <c r="G181" s="182"/>
      <c r="H181" s="178"/>
      <c r="I181" s="183"/>
      <c r="J181" s="180"/>
      <c r="K181" s="181"/>
      <c r="L181" s="183"/>
      <c r="M181" s="364">
        <v>6</v>
      </c>
      <c r="N181" s="178">
        <f>Assumptions!G$29</f>
        <v>10.6</v>
      </c>
      <c r="O181" s="178">
        <f t="shared" si="10"/>
        <v>63.599999999999994</v>
      </c>
      <c r="P181" s="178">
        <f t="shared" si="9"/>
        <v>63.599999999999994</v>
      </c>
      <c r="Q181" s="158"/>
      <c r="R181" s="59"/>
    </row>
    <row r="182" spans="1:144" s="157" customFormat="1" ht="12">
      <c r="A182" s="207" t="s">
        <v>194</v>
      </c>
      <c r="B182" s="207"/>
      <c r="C182" s="207"/>
      <c r="D182" s="207"/>
      <c r="E182" s="208"/>
      <c r="F182" s="209"/>
      <c r="G182" s="209"/>
      <c r="H182" s="210">
        <f>SUM(H157:H181)</f>
        <v>143.869228</v>
      </c>
      <c r="I182" s="210"/>
      <c r="J182" s="211"/>
      <c r="K182" s="208"/>
      <c r="L182" s="210">
        <f>SUM(L157:L181)</f>
        <v>1962.6134000000002</v>
      </c>
      <c r="M182" s="240">
        <f>SUM(M157:M181)</f>
        <v>1437.26</v>
      </c>
      <c r="N182" s="210"/>
      <c r="O182" s="210">
        <f>SUM(O157:O181)</f>
        <v>2488.336</v>
      </c>
      <c r="P182" s="210">
        <f>SUM(P157:P181)</f>
        <v>4594.818628</v>
      </c>
      <c r="Q182" s="210">
        <f>P182+Q155</f>
        <v>18480.394658666668</v>
      </c>
      <c r="R182" s="5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49"/>
      <c r="DF182" s="149"/>
      <c r="DG182" s="149"/>
      <c r="DH182" s="149"/>
      <c r="DI182" s="149"/>
      <c r="DJ182" s="149"/>
      <c r="DK182" s="149"/>
      <c r="DL182" s="149"/>
      <c r="DM182" s="149"/>
      <c r="DN182" s="149"/>
      <c r="DO182" s="149"/>
      <c r="DP182" s="149"/>
      <c r="DQ182" s="149"/>
      <c r="DR182" s="149"/>
      <c r="DS182" s="149"/>
      <c r="DT182" s="149"/>
      <c r="DU182" s="149"/>
      <c r="DV182" s="149"/>
      <c r="DW182" s="149"/>
      <c r="DX182" s="149"/>
      <c r="DY182" s="149"/>
      <c r="DZ182" s="149"/>
      <c r="EA182" s="149"/>
      <c r="EB182" s="149"/>
      <c r="EC182" s="149"/>
      <c r="ED182" s="149"/>
      <c r="EE182" s="149"/>
      <c r="EF182" s="149"/>
      <c r="EG182" s="149"/>
      <c r="EH182" s="149"/>
      <c r="EI182" s="149"/>
      <c r="EJ182" s="149"/>
      <c r="EK182" s="149"/>
      <c r="EL182" s="149"/>
      <c r="EM182" s="149"/>
      <c r="EN182" s="149"/>
    </row>
    <row r="183" spans="1:144" s="198" customFormat="1" ht="12">
      <c r="A183" s="226" t="s">
        <v>231</v>
      </c>
      <c r="B183" s="204"/>
      <c r="C183" s="204"/>
      <c r="D183" s="204"/>
      <c r="E183" s="205"/>
      <c r="F183" s="206"/>
      <c r="G183" s="206"/>
      <c r="H183" s="218">
        <f>SUM(H143:H181)-H155</f>
        <v>186.97877533333337</v>
      </c>
      <c r="I183" s="218"/>
      <c r="J183" s="229"/>
      <c r="K183" s="230"/>
      <c r="L183" s="218">
        <f>SUM(L143:L181)-L155</f>
        <v>2648.3387999999995</v>
      </c>
      <c r="M183" s="252">
        <f>SUM(M143:M181)-M155</f>
        <v>1917.2400000000007</v>
      </c>
      <c r="N183" s="218"/>
      <c r="O183" s="218">
        <f>SUM(O143:O181)-O155</f>
        <v>3327.7039999999997</v>
      </c>
      <c r="P183" s="218">
        <f>SUM(P143:P181)-P155</f>
        <v>6163.021575333333</v>
      </c>
      <c r="Q183" s="218">
        <f>Q140+P183</f>
        <v>18480.394658666668</v>
      </c>
      <c r="R183" s="5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c r="CY183" s="149"/>
      <c r="CZ183" s="149"/>
      <c r="DA183" s="149"/>
      <c r="DB183" s="149"/>
      <c r="DC183" s="149"/>
      <c r="DD183" s="149"/>
      <c r="DE183" s="149"/>
      <c r="DF183" s="149"/>
      <c r="DG183" s="149"/>
      <c r="DH183" s="149"/>
      <c r="DI183" s="149"/>
      <c r="DJ183" s="149"/>
      <c r="DK183" s="149"/>
      <c r="DL183" s="149"/>
      <c r="DM183" s="149"/>
      <c r="DN183" s="149"/>
      <c r="DO183" s="149"/>
      <c r="DP183" s="149"/>
      <c r="DQ183" s="149"/>
      <c r="DR183" s="149"/>
      <c r="DS183" s="149"/>
      <c r="DT183" s="149"/>
      <c r="DU183" s="149"/>
      <c r="DV183" s="149"/>
      <c r="DW183" s="149"/>
      <c r="DX183" s="149"/>
      <c r="DY183" s="149"/>
      <c r="DZ183" s="149"/>
      <c r="EA183" s="149"/>
      <c r="EB183" s="149"/>
      <c r="EC183" s="149"/>
      <c r="ED183" s="149"/>
      <c r="EE183" s="149"/>
      <c r="EF183" s="149"/>
      <c r="EG183" s="149"/>
      <c r="EH183" s="149"/>
      <c r="EI183" s="149"/>
      <c r="EJ183" s="149"/>
      <c r="EK183" s="149"/>
      <c r="EL183" s="149"/>
      <c r="EM183" s="149"/>
      <c r="EN183" s="149"/>
    </row>
    <row r="184" spans="1:144" s="198" customFormat="1" ht="12">
      <c r="A184" s="268" t="s">
        <v>288</v>
      </c>
      <c r="B184" s="204"/>
      <c r="C184" s="204"/>
      <c r="D184" s="204"/>
      <c r="E184" s="205"/>
      <c r="F184" s="206"/>
      <c r="G184" s="206"/>
      <c r="H184" s="218">
        <f>H15+H35+H55+H71+H140+H183</f>
        <v>1672.2186586666671</v>
      </c>
      <c r="I184" s="218"/>
      <c r="J184" s="229"/>
      <c r="K184" s="230"/>
      <c r="L184" s="218">
        <f>L15+L35+L55+L71+L140+L183</f>
        <v>10389.312</v>
      </c>
      <c r="M184" s="252">
        <f>M15+M35+M55+M71+M140+M183</f>
        <v>2197.4400000000005</v>
      </c>
      <c r="N184" s="218"/>
      <c r="O184" s="218">
        <f>O15+O35+O55+O71+O140+O183</f>
        <v>6418.864</v>
      </c>
      <c r="P184" s="218">
        <f>P15+P35+P55+P71+P140+P183</f>
        <v>18480.394658666668</v>
      </c>
      <c r="Q184" s="218"/>
      <c r="R184" s="5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c r="CZ184" s="149"/>
      <c r="DA184" s="149"/>
      <c r="DB184" s="149"/>
      <c r="DC184" s="149"/>
      <c r="DD184" s="149"/>
      <c r="DE184" s="149"/>
      <c r="DF184" s="149"/>
      <c r="DG184" s="149"/>
      <c r="DH184" s="149"/>
      <c r="DI184" s="149"/>
      <c r="DJ184" s="149"/>
      <c r="DK184" s="149"/>
      <c r="DL184" s="149"/>
      <c r="DM184" s="149"/>
      <c r="DN184" s="149"/>
      <c r="DO184" s="149"/>
      <c r="DP184" s="149"/>
      <c r="DQ184" s="149"/>
      <c r="DR184" s="149"/>
      <c r="DS184" s="149"/>
      <c r="DT184" s="149"/>
      <c r="DU184" s="149"/>
      <c r="DV184" s="149"/>
      <c r="DW184" s="149"/>
      <c r="DX184" s="149"/>
      <c r="DY184" s="149"/>
      <c r="DZ184" s="149"/>
      <c r="EA184" s="149"/>
      <c r="EB184" s="149"/>
      <c r="EC184" s="149"/>
      <c r="ED184" s="149"/>
      <c r="EE184" s="149"/>
      <c r="EF184" s="149"/>
      <c r="EG184" s="149"/>
      <c r="EH184" s="149"/>
      <c r="EI184" s="149"/>
      <c r="EJ184" s="149"/>
      <c r="EK184" s="149"/>
      <c r="EL184" s="149"/>
      <c r="EM184" s="149"/>
      <c r="EN184" s="149"/>
    </row>
    <row r="185" spans="1:17" s="149" customFormat="1" ht="9.75">
      <c r="A185" s="235" t="s">
        <v>23</v>
      </c>
      <c r="E185" s="114"/>
      <c r="F185" s="115"/>
      <c r="G185" s="112"/>
      <c r="H185" s="112"/>
      <c r="I185" s="112"/>
      <c r="J185" s="113"/>
      <c r="K185" s="114"/>
      <c r="L185" s="112"/>
      <c r="M185" s="115"/>
      <c r="N185" s="116"/>
      <c r="O185" s="148"/>
      <c r="P185" s="148"/>
      <c r="Q185" s="231" t="s">
        <v>21</v>
      </c>
    </row>
    <row r="186" spans="2:16" s="149" customFormat="1" ht="9.75">
      <c r="B186" s="114" t="s">
        <v>19</v>
      </c>
      <c r="E186" s="114" t="s">
        <v>2</v>
      </c>
      <c r="F186" s="115"/>
      <c r="G186" s="112"/>
      <c r="H186" s="112"/>
      <c r="I186" s="370">
        <v>16</v>
      </c>
      <c r="J186" s="113" t="s">
        <v>66</v>
      </c>
      <c r="K186" s="114">
        <v>1</v>
      </c>
      <c r="L186" s="112">
        <f>$I186*K186</f>
        <v>16</v>
      </c>
      <c r="M186" s="115"/>
      <c r="N186" s="116"/>
      <c r="O186" s="148"/>
      <c r="P186" s="178">
        <f>O186+L186+H186</f>
        <v>16</v>
      </c>
    </row>
    <row r="187" spans="2:16" s="149" customFormat="1" ht="9.75">
      <c r="B187" s="114" t="s">
        <v>20</v>
      </c>
      <c r="E187" s="114" t="s">
        <v>2</v>
      </c>
      <c r="F187" s="115"/>
      <c r="G187" s="112"/>
      <c r="H187" s="112"/>
      <c r="I187" s="370">
        <v>100</v>
      </c>
      <c r="J187" s="113" t="s">
        <v>66</v>
      </c>
      <c r="K187" s="114">
        <v>1</v>
      </c>
      <c r="L187" s="112">
        <f>$I187*K187</f>
        <v>100</v>
      </c>
      <c r="M187" s="115"/>
      <c r="N187" s="116"/>
      <c r="O187" s="148"/>
      <c r="P187" s="178">
        <f>O187+L187+H187</f>
        <v>100</v>
      </c>
    </row>
    <row r="188" spans="2:16" s="149" customFormat="1" ht="9.75">
      <c r="B188" s="114" t="s">
        <v>22</v>
      </c>
      <c r="E188" s="114" t="s">
        <v>2</v>
      </c>
      <c r="F188" s="115"/>
      <c r="G188" s="112"/>
      <c r="H188" s="112"/>
      <c r="I188" s="370">
        <v>25</v>
      </c>
      <c r="J188" s="113" t="s">
        <v>66</v>
      </c>
      <c r="K188" s="114">
        <v>1</v>
      </c>
      <c r="L188" s="112">
        <f>$I188*K188</f>
        <v>25</v>
      </c>
      <c r="M188" s="115"/>
      <c r="N188" s="116"/>
      <c r="O188" s="148"/>
      <c r="P188" s="178">
        <f>O188+L188+H188</f>
        <v>25</v>
      </c>
    </row>
    <row r="189" spans="2:16" s="149" customFormat="1" ht="9.75">
      <c r="B189" s="149" t="s">
        <v>349</v>
      </c>
      <c r="E189" s="114"/>
      <c r="F189" s="115"/>
      <c r="G189" s="112"/>
      <c r="H189" s="112"/>
      <c r="I189" s="370">
        <v>0</v>
      </c>
      <c r="J189" s="113" t="s">
        <v>66</v>
      </c>
      <c r="K189" s="114">
        <v>1</v>
      </c>
      <c r="L189" s="112">
        <f>$I189*K189</f>
        <v>0</v>
      </c>
      <c r="M189" s="115"/>
      <c r="N189" s="116"/>
      <c r="O189" s="148"/>
      <c r="P189" s="178">
        <f>O189+L189+H189</f>
        <v>0</v>
      </c>
    </row>
    <row r="190" spans="1:144" s="207" customFormat="1" ht="9.75">
      <c r="A190" s="207" t="s">
        <v>24</v>
      </c>
      <c r="E190" s="208"/>
      <c r="F190" s="236"/>
      <c r="G190" s="237"/>
      <c r="H190" s="237"/>
      <c r="I190" s="237"/>
      <c r="J190" s="236"/>
      <c r="K190" s="236"/>
      <c r="L190" s="237">
        <f>SUM(L186:L189)</f>
        <v>141</v>
      </c>
      <c r="M190" s="236"/>
      <c r="N190" s="236"/>
      <c r="O190" s="238"/>
      <c r="P190" s="238">
        <f>SUM(P186:P189)</f>
        <v>141</v>
      </c>
      <c r="Q190" s="213">
        <f>Q182+P190</f>
        <v>18621.394658666668</v>
      </c>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3"/>
      <c r="AY190" s="313"/>
      <c r="AZ190" s="313"/>
      <c r="BA190" s="313"/>
      <c r="BB190" s="313"/>
      <c r="BC190" s="313"/>
      <c r="BD190" s="313"/>
      <c r="BE190" s="313"/>
      <c r="BF190" s="313"/>
      <c r="BG190" s="313"/>
      <c r="BH190" s="313"/>
      <c r="BI190" s="313"/>
      <c r="BJ190" s="313"/>
      <c r="BK190" s="313"/>
      <c r="BL190" s="313"/>
      <c r="BM190" s="313"/>
      <c r="BN190" s="313"/>
      <c r="BO190" s="313"/>
      <c r="BP190" s="313"/>
      <c r="BQ190" s="313"/>
      <c r="BR190" s="313"/>
      <c r="BS190" s="313"/>
      <c r="BT190" s="313"/>
      <c r="BU190" s="313"/>
      <c r="BV190" s="313"/>
      <c r="BW190" s="313"/>
      <c r="BX190" s="313"/>
      <c r="BY190" s="313"/>
      <c r="BZ190" s="313"/>
      <c r="CA190" s="313"/>
      <c r="CB190" s="313"/>
      <c r="CC190" s="313"/>
      <c r="CD190" s="313"/>
      <c r="CE190" s="313"/>
      <c r="CF190" s="313"/>
      <c r="CG190" s="313"/>
      <c r="CH190" s="313"/>
      <c r="CI190" s="313"/>
      <c r="CJ190" s="313"/>
      <c r="CK190" s="313"/>
      <c r="CL190" s="313"/>
      <c r="CM190" s="313"/>
      <c r="CN190" s="313"/>
      <c r="CO190" s="313"/>
      <c r="CP190" s="313"/>
      <c r="CQ190" s="313"/>
      <c r="CR190" s="313"/>
      <c r="CS190" s="313"/>
      <c r="CT190" s="313"/>
      <c r="CU190" s="313"/>
      <c r="CV190" s="313"/>
      <c r="CW190" s="313"/>
      <c r="CX190" s="313"/>
      <c r="CY190" s="313"/>
      <c r="CZ190" s="313"/>
      <c r="DA190" s="313"/>
      <c r="DB190" s="313"/>
      <c r="DC190" s="313"/>
      <c r="DD190" s="313"/>
      <c r="DE190" s="313"/>
      <c r="DF190" s="313"/>
      <c r="DG190" s="313"/>
      <c r="DH190" s="313"/>
      <c r="DI190" s="313"/>
      <c r="DJ190" s="313"/>
      <c r="DK190" s="313"/>
      <c r="DL190" s="313"/>
      <c r="DM190" s="313"/>
      <c r="DN190" s="313"/>
      <c r="DO190" s="313"/>
      <c r="DP190" s="313"/>
      <c r="DQ190" s="313"/>
      <c r="DR190" s="313"/>
      <c r="DS190" s="313"/>
      <c r="DT190" s="313"/>
      <c r="DU190" s="313"/>
      <c r="DV190" s="313"/>
      <c r="DW190" s="313"/>
      <c r="DX190" s="313"/>
      <c r="DY190" s="313"/>
      <c r="DZ190" s="313"/>
      <c r="EA190" s="313"/>
      <c r="EB190" s="313"/>
      <c r="EC190" s="313"/>
      <c r="ED190" s="313"/>
      <c r="EE190" s="313"/>
      <c r="EF190" s="313"/>
      <c r="EG190" s="313"/>
      <c r="EH190" s="313"/>
      <c r="EI190" s="313"/>
      <c r="EJ190" s="313"/>
      <c r="EK190" s="313"/>
      <c r="EL190" s="313"/>
      <c r="EM190" s="313"/>
      <c r="EN190" s="313"/>
    </row>
    <row r="191" spans="5:17" s="149" customFormat="1" ht="9.75">
      <c r="E191" s="114"/>
      <c r="F191" s="232"/>
      <c r="G191" s="233"/>
      <c r="H191" s="233"/>
      <c r="I191" s="233"/>
      <c r="J191" s="232"/>
      <c r="K191" s="232"/>
      <c r="L191" s="233"/>
      <c r="M191" s="232"/>
      <c r="N191" s="232"/>
      <c r="O191" s="234"/>
      <c r="P191" s="234"/>
      <c r="Q191" s="234"/>
    </row>
    <row r="192" spans="1:18" ht="12">
      <c r="A192"/>
      <c r="B192"/>
      <c r="C192"/>
      <c r="D192"/>
      <c r="E192" s="5"/>
      <c r="F192" s="55"/>
      <c r="G192" s="55"/>
      <c r="H192"/>
      <c r="I192" s="33"/>
      <c r="J192" s="128" t="s">
        <v>195</v>
      </c>
      <c r="K192" s="5"/>
      <c r="L192" s="33"/>
      <c r="M192" s="55"/>
      <c r="N192" s="33"/>
      <c r="O192" s="33"/>
      <c r="P192" s="188">
        <f>Q190</f>
        <v>18621.394658666668</v>
      </c>
      <c r="Q192" s="158"/>
      <c r="R192" s="59"/>
    </row>
    <row r="193" spans="1:18" ht="12">
      <c r="A193"/>
      <c r="B193"/>
      <c r="C193"/>
      <c r="D193"/>
      <c r="E193" s="5"/>
      <c r="F193" s="55"/>
      <c r="G193" s="55"/>
      <c r="H193"/>
      <c r="I193" s="33"/>
      <c r="J193" s="11"/>
      <c r="K193" s="5"/>
      <c r="L193" s="33"/>
      <c r="M193" s="55"/>
      <c r="N193" s="33"/>
      <c r="O193" s="33"/>
      <c r="P193" s="61"/>
      <c r="Q193" s="158"/>
      <c r="R193" s="59"/>
    </row>
    <row r="194" spans="1:18" ht="12">
      <c r="A194"/>
      <c r="B194"/>
      <c r="C194"/>
      <c r="D194"/>
      <c r="E194" s="5"/>
      <c r="F194" s="55"/>
      <c r="G194" s="55"/>
      <c r="H194"/>
      <c r="I194" s="33"/>
      <c r="J194" s="11"/>
      <c r="K194" s="5"/>
      <c r="L194" s="33"/>
      <c r="M194" s="55"/>
      <c r="N194" s="33"/>
      <c r="O194" s="33"/>
      <c r="P194" s="61"/>
      <c r="Q194" s="158"/>
      <c r="R194" s="59"/>
    </row>
    <row r="195" spans="1:18" ht="12">
      <c r="A195"/>
      <c r="B195"/>
      <c r="C195"/>
      <c r="D195"/>
      <c r="E195" s="5"/>
      <c r="F195" s="55"/>
      <c r="G195" s="55"/>
      <c r="H195"/>
      <c r="I195" s="33"/>
      <c r="J195" s="11"/>
      <c r="K195" s="5"/>
      <c r="L195" s="33"/>
      <c r="M195" s="55"/>
      <c r="N195" s="33"/>
      <c r="O195" s="33"/>
      <c r="P195" s="61"/>
      <c r="Q195" s="158"/>
      <c r="R195" s="59"/>
    </row>
    <row r="196" spans="1:18" ht="12">
      <c r="A196"/>
      <c r="B196"/>
      <c r="C196"/>
      <c r="D196"/>
      <c r="E196" s="5"/>
      <c r="F196" s="55"/>
      <c r="G196" s="55"/>
      <c r="H196"/>
      <c r="I196" s="33"/>
      <c r="J196" s="11"/>
      <c r="K196" s="5"/>
      <c r="L196" s="33"/>
      <c r="M196" s="55"/>
      <c r="N196" s="33"/>
      <c r="O196" s="33"/>
      <c r="P196" s="61"/>
      <c r="Q196" s="158"/>
      <c r="R196" s="59"/>
    </row>
    <row r="197" spans="1:18" ht="12">
      <c r="A197"/>
      <c r="B197"/>
      <c r="C197"/>
      <c r="D197"/>
      <c r="E197" s="5"/>
      <c r="F197" s="55"/>
      <c r="G197" s="55"/>
      <c r="H197"/>
      <c r="I197" s="33"/>
      <c r="J197" s="11"/>
      <c r="K197" s="5"/>
      <c r="L197" s="33"/>
      <c r="M197" s="55"/>
      <c r="N197" s="33"/>
      <c r="O197" s="33"/>
      <c r="P197" s="61"/>
      <c r="Q197" s="158"/>
      <c r="R197" s="59"/>
    </row>
  </sheetData>
  <sheetProtection password="ECAF" sheet="1" selectLockedCells="1"/>
  <printOptions/>
  <pageMargins left="0.76" right="0.75" top="0.5" bottom="0.25" header="0.5" footer="0.16"/>
  <pageSetup fitToHeight="0" fitToWidth="1" horizontalDpi="600" verticalDpi="600" orientation="landscape" scale="7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NCSU-ARE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TestGrad</dc:creator>
  <cp:keywords/>
  <dc:description/>
  <cp:lastModifiedBy>Gina Fernandez</cp:lastModifiedBy>
  <cp:lastPrinted>2013-03-15T17:22:44Z</cp:lastPrinted>
  <dcterms:created xsi:type="dcterms:W3CDTF">2003-02-23T22:21:50Z</dcterms:created>
  <dcterms:modified xsi:type="dcterms:W3CDTF">2015-03-30T01:46:40Z</dcterms:modified>
  <cp:category/>
  <cp:version/>
  <cp:contentType/>
  <cp:contentStatus/>
</cp:coreProperties>
</file>