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huffm2.WOLFTECH\Desktop\"/>
    </mc:Choice>
  </mc:AlternateContent>
  <bookViews>
    <workbookView xWindow="0" yWindow="0" windowWidth="28800" windowHeight="11610"/>
  </bookViews>
  <sheets>
    <sheet name="Crop Comparison" sheetId="1" r:id="rId1"/>
    <sheet name="Crop &amp; Farm Summary" sheetId="3" r:id="rId2"/>
    <sheet name="State Yields" sheetId="2" r:id="rId3"/>
    <sheet name="Regional Yeilds" sheetId="4" r:id="rId4"/>
  </sheets>
  <externalReferences>
    <externalReference r:id="rId5"/>
  </externalReferences>
  <definedNames>
    <definedName name="_xlnm.Print_Area" localSheetId="0">'Crop Comparison'!$A$1:$G$74</definedName>
    <definedName name="Seeds">[1]Seed!$A$7:$H$90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3" l="1"/>
  <c r="H15" i="2"/>
  <c r="H14" i="2"/>
  <c r="H13" i="2"/>
  <c r="H4" i="2"/>
  <c r="H5" i="2"/>
  <c r="H6" i="2"/>
  <c r="H7" i="2"/>
  <c r="H8" i="2"/>
  <c r="H9" i="2"/>
  <c r="H10" i="2"/>
  <c r="H11" i="2"/>
  <c r="H12" i="2"/>
  <c r="H3" i="2"/>
  <c r="I48" i="1"/>
  <c r="I47" i="1"/>
  <c r="I62" i="1" l="1"/>
  <c r="I50" i="1"/>
  <c r="I56" i="1" s="1"/>
  <c r="C10" i="3" s="1"/>
  <c r="I11" i="1"/>
  <c r="I10" i="1"/>
  <c r="B14" i="2"/>
  <c r="D10" i="3" l="1"/>
  <c r="D24" i="3"/>
  <c r="I57" i="1"/>
  <c r="H10" i="3" s="1"/>
  <c r="I63" i="1"/>
  <c r="E10" i="3" s="1"/>
  <c r="F6" i="1"/>
  <c r="F52" i="1" s="1"/>
  <c r="F10" i="3" l="1"/>
  <c r="E24" i="3"/>
  <c r="I10" i="3"/>
  <c r="G24" i="3"/>
  <c r="I64" i="1"/>
  <c r="J10" i="3" s="1"/>
  <c r="I67" i="1"/>
  <c r="I66" i="1"/>
  <c r="I69" i="1" s="1"/>
  <c r="D62" i="1"/>
  <c r="I26" i="3"/>
  <c r="K10" i="3" l="1"/>
  <c r="H24" i="3"/>
  <c r="G11" i="1"/>
  <c r="H11" i="1"/>
  <c r="D9" i="1" l="1"/>
  <c r="B13" i="2"/>
  <c r="I13" i="2"/>
  <c r="G15" i="2"/>
  <c r="G14" i="2"/>
  <c r="G13" i="2"/>
  <c r="C14" i="2"/>
  <c r="C13" i="2"/>
  <c r="D14" i="2"/>
  <c r="D13" i="2"/>
  <c r="E14" i="2"/>
  <c r="E13" i="2"/>
  <c r="F14" i="2"/>
  <c r="F13" i="2"/>
  <c r="H62" i="1"/>
  <c r="H50" i="1"/>
  <c r="H56" i="1" s="1"/>
  <c r="C9" i="3" s="1"/>
  <c r="D23" i="3" s="1"/>
  <c r="H10" i="1"/>
  <c r="G62" i="1"/>
  <c r="G50" i="1"/>
  <c r="G56" i="1" s="1"/>
  <c r="C11" i="3" s="1"/>
  <c r="G10" i="1"/>
  <c r="D9" i="3" l="1"/>
  <c r="G57" i="1"/>
  <c r="H11" i="3" s="1"/>
  <c r="G63" i="1"/>
  <c r="H63" i="1"/>
  <c r="H57" i="1"/>
  <c r="H9" i="3" s="1"/>
  <c r="G23" i="3" s="1"/>
  <c r="B15" i="2"/>
  <c r="F15" i="2"/>
  <c r="L77" i="4"/>
  <c r="L75" i="4"/>
  <c r="L73" i="4"/>
  <c r="L54" i="4"/>
  <c r="L52" i="4"/>
  <c r="L50" i="4"/>
  <c r="L47" i="4"/>
  <c r="L45" i="4"/>
  <c r="L16" i="4"/>
  <c r="L14" i="4"/>
  <c r="L12" i="4"/>
  <c r="L9" i="4"/>
  <c r="L7" i="4"/>
  <c r="L5" i="4"/>
  <c r="I11" i="3" l="1"/>
  <c r="G22" i="3"/>
  <c r="E11" i="3"/>
  <c r="G67" i="1"/>
  <c r="G66" i="1"/>
  <c r="G69" i="1" s="1"/>
  <c r="H67" i="1"/>
  <c r="E9" i="3"/>
  <c r="D11" i="3"/>
  <c r="D22" i="3"/>
  <c r="I9" i="3"/>
  <c r="H66" i="1"/>
  <c r="H69" i="1" s="1"/>
  <c r="H64" i="1"/>
  <c r="J9" i="3" s="1"/>
  <c r="H23" i="3" s="1"/>
  <c r="G64" i="1"/>
  <c r="J11" i="3" s="1"/>
  <c r="H22" i="3" s="1"/>
  <c r="F81" i="4"/>
  <c r="F79" i="4"/>
  <c r="F77" i="4"/>
  <c r="F58" i="4"/>
  <c r="F56" i="4"/>
  <c r="F54" i="4"/>
  <c r="F51" i="4"/>
  <c r="F49" i="4"/>
  <c r="F16" i="4"/>
  <c r="F14" i="4"/>
  <c r="F12" i="4"/>
  <c r="F9" i="4"/>
  <c r="F7" i="4"/>
  <c r="F5" i="4"/>
  <c r="F9" i="3" l="1"/>
  <c r="E23" i="3"/>
  <c r="E22" i="3"/>
  <c r="F11" i="3"/>
  <c r="K9" i="3"/>
  <c r="K11" i="3"/>
  <c r="B50" i="1"/>
  <c r="B56" i="1" s="1"/>
  <c r="C5" i="3" s="1"/>
  <c r="E7" i="1" l="1"/>
  <c r="C26" i="3" l="1"/>
  <c r="C50" i="1"/>
  <c r="C56" i="1" s="1"/>
  <c r="C6" i="3" s="1"/>
  <c r="D50" i="1"/>
  <c r="D56" i="1" s="1"/>
  <c r="E50" i="1"/>
  <c r="E56" i="1" s="1"/>
  <c r="C8" i="3" s="1"/>
  <c r="F50" i="1"/>
  <c r="F56" i="1" s="1"/>
  <c r="C12" i="3" s="1"/>
  <c r="D12" i="3" s="1"/>
  <c r="K14" i="3" l="1"/>
  <c r="C7" i="3"/>
  <c r="D63" i="1"/>
  <c r="D21" i="3"/>
  <c r="D8" i="3"/>
  <c r="G78" i="1" l="1"/>
  <c r="B10" i="1"/>
  <c r="D19" i="3" l="1"/>
  <c r="F10" i="1"/>
  <c r="F11" i="1" s="1"/>
  <c r="D10" i="1"/>
  <c r="B62" i="1"/>
  <c r="F62" i="1"/>
  <c r="E62" i="1"/>
  <c r="C62" i="1"/>
  <c r="D20" i="3" l="1"/>
  <c r="C15" i="2"/>
  <c r="D15" i="2"/>
  <c r="E15" i="2"/>
  <c r="E11" i="1"/>
  <c r="B11" i="1"/>
  <c r="B57" i="1" s="1"/>
  <c r="H5" i="3" s="1"/>
  <c r="G17" i="3" s="1"/>
  <c r="D11" i="1"/>
  <c r="E7" i="3"/>
  <c r="E19" i="3" s="1"/>
  <c r="D57" i="1" l="1"/>
  <c r="H7" i="3" s="1"/>
  <c r="G20" i="3" s="1"/>
  <c r="D64" i="1"/>
  <c r="J7" i="3" s="1"/>
  <c r="E20" i="3"/>
  <c r="E57" i="1"/>
  <c r="H8" i="3" s="1"/>
  <c r="G21" i="3" s="1"/>
  <c r="E63" i="1"/>
  <c r="B63" i="1"/>
  <c r="D66" i="1"/>
  <c r="D69" i="1" s="1"/>
  <c r="D67" i="1"/>
  <c r="G19" i="3" l="1"/>
  <c r="H19" i="3"/>
  <c r="H20" i="3"/>
  <c r="E67" i="1"/>
  <c r="E8" i="3"/>
  <c r="E21" i="3" s="1"/>
  <c r="B67" i="1"/>
  <c r="B66" i="1"/>
  <c r="B69" i="1" s="1"/>
  <c r="E5" i="3"/>
  <c r="B64" i="1"/>
  <c r="J5" i="3" s="1"/>
  <c r="H17" i="3" s="1"/>
  <c r="K7" i="3"/>
  <c r="D7" i="3"/>
  <c r="D5" i="3"/>
  <c r="D17" i="3"/>
  <c r="I7" i="3"/>
  <c r="C11" i="1"/>
  <c r="F8" i="3" l="1"/>
  <c r="F7" i="3"/>
  <c r="F5" i="3"/>
  <c r="E17" i="3"/>
  <c r="E10" i="1"/>
  <c r="C10" i="1"/>
  <c r="E66" i="1" l="1"/>
  <c r="E64" i="1"/>
  <c r="J8" i="3" s="1"/>
  <c r="H21" i="3" s="1"/>
  <c r="K8" i="3" l="1"/>
  <c r="I8" i="3"/>
  <c r="D6" i="3" l="1"/>
  <c r="D18" i="3"/>
  <c r="K5" i="3"/>
  <c r="I5" i="3"/>
  <c r="C63" i="1" l="1"/>
  <c r="E6" i="3" s="1"/>
  <c r="C57" i="1"/>
  <c r="H6" i="3" s="1"/>
  <c r="I6" i="3" s="1"/>
  <c r="G18" i="3" l="1"/>
  <c r="F6" i="3"/>
  <c r="E18" i="3"/>
  <c r="C67" i="1"/>
  <c r="C64" i="1"/>
  <c r="J6" i="3" s="1"/>
  <c r="H18" i="3" s="1"/>
  <c r="C66" i="1"/>
  <c r="C69" i="1" s="1"/>
  <c r="K6" i="3" l="1"/>
  <c r="F63" i="1" l="1"/>
  <c r="E12" i="3" s="1"/>
  <c r="F12" i="3" s="1"/>
  <c r="F57" i="1"/>
  <c r="H12" i="3" s="1"/>
  <c r="F66" i="1" l="1"/>
  <c r="F69" i="1" s="1"/>
  <c r="F67" i="1"/>
  <c r="D25" i="3"/>
  <c r="D26" i="3" s="1"/>
  <c r="I12" i="3"/>
  <c r="G25" i="3"/>
  <c r="F64" i="1"/>
  <c r="J12" i="3" s="1"/>
  <c r="H25" i="3" s="1"/>
  <c r="H26" i="3" l="1"/>
  <c r="G26" i="3"/>
  <c r="K12" i="3"/>
  <c r="E25" i="3"/>
  <c r="E26" i="3" s="1"/>
  <c r="J26" i="3" s="1"/>
  <c r="J24" i="3" l="1"/>
  <c r="K24" i="3" s="1"/>
  <c r="J18" i="3"/>
  <c r="J17" i="3"/>
  <c r="K17" i="3" s="1"/>
  <c r="J21" i="3" l="1"/>
  <c r="K21" i="3" s="1"/>
  <c r="J22" i="3"/>
  <c r="K22" i="3" s="1"/>
  <c r="K18" i="3"/>
  <c r="J23" i="3"/>
  <c r="K23" i="3" s="1"/>
  <c r="J19" i="3"/>
  <c r="K19" i="3" s="1"/>
  <c r="J25" i="3"/>
  <c r="K25" i="3" s="1"/>
  <c r="J20" i="3"/>
  <c r="K20" i="3" s="1"/>
  <c r="K26" i="3" l="1"/>
</calcChain>
</file>

<file path=xl/comments1.xml><?xml version="1.0" encoding="utf-8"?>
<comments xmlns="http://schemas.openxmlformats.org/spreadsheetml/2006/main">
  <authors>
    <author>Derek Alan Washburn</author>
    <author>Nick</author>
  </authors>
  <commentList>
    <comment ref="F6" authorId="0" shapeId="0">
      <text>
        <r>
          <rPr>
            <sz val="9"/>
            <color indexed="81"/>
            <rFont val="Tahoma"/>
            <family val="2"/>
          </rPr>
          <t>Derek Washburn:
For every lb. of cotton ginned it is assumed there will be 1.67 lbs. of seed, this number is variable based on cotton variety.</t>
        </r>
      </text>
    </comment>
    <comment ref="A7" authorId="0" shapeId="0">
      <text>
        <r>
          <rPr>
            <b/>
            <sz val="9"/>
            <color indexed="81"/>
            <rFont val="Tahoma"/>
            <family val="2"/>
          </rPr>
          <t>Derek Alan Washburn: Peanuts and Tobacco prices are based on contract sales not futures</t>
        </r>
        <r>
          <rPr>
            <sz val="9"/>
            <color indexed="81"/>
            <rFont val="Tahoma"/>
            <family val="2"/>
          </rPr>
          <t xml:space="preserve">
</t>
        </r>
      </text>
    </comment>
    <comment ref="A50" authorId="0" shapeId="0">
      <text>
        <r>
          <rPr>
            <sz val="9"/>
            <color indexed="81"/>
            <rFont val="Tahoma"/>
            <family val="2"/>
          </rPr>
          <t xml:space="preserve">Derek Washburn: This value will come from cell B2
</t>
        </r>
      </text>
    </comment>
    <comment ref="B51" authorId="1" shapeId="0">
      <text>
        <r>
          <rPr>
            <b/>
            <sz val="9"/>
            <color indexed="81"/>
            <rFont val="Tahoma"/>
            <family val="2"/>
          </rPr>
          <t>Nick:
Why not a cost of insurance for corn, soybean, wheat and sorghum</t>
        </r>
        <r>
          <rPr>
            <sz val="9"/>
            <color indexed="81"/>
            <rFont val="Tahoma"/>
            <family val="2"/>
          </rPr>
          <t xml:space="preserve">
</t>
        </r>
      </text>
    </comment>
    <comment ref="A52" authorId="0" shapeId="0">
      <text>
        <r>
          <rPr>
            <b/>
            <sz val="9"/>
            <color indexed="81"/>
            <rFont val="Tahoma"/>
            <charset val="1"/>
          </rPr>
          <t>Derek Alan Washburn:</t>
        </r>
        <r>
          <rPr>
            <sz val="9"/>
            <color indexed="81"/>
            <rFont val="Tahoma"/>
            <charset val="1"/>
          </rPr>
          <t xml:space="preserve">
Use yellow cell below to adjust ginning cost</t>
        </r>
      </text>
    </comment>
  </commentList>
</comments>
</file>

<file path=xl/comments2.xml><?xml version="1.0" encoding="utf-8"?>
<comments xmlns="http://schemas.openxmlformats.org/spreadsheetml/2006/main">
  <authors>
    <author>Derek Alan Washburn</author>
  </authors>
  <commentList>
    <comment ref="J16" authorId="0" shapeId="0">
      <text>
        <r>
          <rPr>
            <b/>
            <sz val="9"/>
            <color indexed="81"/>
            <rFont val="Tahoma"/>
            <family val="2"/>
          </rPr>
          <t>Derek Alan Washburn:</t>
        </r>
        <r>
          <rPr>
            <sz val="9"/>
            <color indexed="81"/>
            <rFont val="Tahoma"/>
            <family val="2"/>
          </rPr>
          <t xml:space="preserve">
Use the percentage of farm overhead cell to include cost related to:
*Shop Cost- utilities, mortgage on buidlings and land for shop
*Salaried Employees- our budgets assume hourly labor for equipment operators at the current H2A labor rate, if there are additional cost from salaried employees utilized for whole farm maintenance, account management, record keeping, payroll....ect
*Other bills that must be paid in the operation of the total farm in the given year such as contracted services for lawyers, accountants, and facilities maintenance.
DO NOT INCLUDE:
*Fixed Cost on Tractor and Machinery including Insurance, Taxes, Depreciation , or Interest
*H2A overhead cost for tobacco or sweet potatoes such as living space, transportation, recruiting fees, ect
*Tobacco loading system, tobacco bulk barns, tobacco bailer.
</t>
        </r>
      </text>
    </comment>
    <comment ref="C17" authorId="0" shapeId="0">
      <text>
        <r>
          <rPr>
            <b/>
            <sz val="9"/>
            <color indexed="81"/>
            <rFont val="Tahoma"/>
            <family val="2"/>
          </rPr>
          <t>Derek Alan Washburn:</t>
        </r>
        <r>
          <rPr>
            <sz val="9"/>
            <color indexed="81"/>
            <rFont val="Tahoma"/>
            <family val="2"/>
          </rPr>
          <t xml:space="preserve">
Enter all your potential farm acreages here. We assume double crop acreage is double cropped with soybeans, there for any acreage listed with a double crop will not add to the total farm acreage number.</t>
        </r>
      </text>
    </comment>
    <comment ref="B19" authorId="0" shapeId="0">
      <text>
        <r>
          <rPr>
            <b/>
            <sz val="9"/>
            <color indexed="81"/>
            <rFont val="Tahoma"/>
            <family val="2"/>
          </rPr>
          <t>Derek Alan Washburn:</t>
        </r>
        <r>
          <rPr>
            <sz val="9"/>
            <color indexed="81"/>
            <rFont val="Tahoma"/>
            <family val="2"/>
          </rPr>
          <t xml:space="preserve">
Wheat can be double cropped with several crops. Savings from double crop include land rent, overhead, and nitrogen credits from previous crops such as soybeans. Here we do not include savings from nitrogen credits.</t>
        </r>
      </text>
    </comment>
  </commentList>
</comments>
</file>

<file path=xl/sharedStrings.xml><?xml version="1.0" encoding="utf-8"?>
<sst xmlns="http://schemas.openxmlformats.org/spreadsheetml/2006/main" count="406" uniqueCount="235">
  <si>
    <t>Corn</t>
  </si>
  <si>
    <t>Soybeans</t>
  </si>
  <si>
    <t>Wheat</t>
  </si>
  <si>
    <t>Gross Revenue</t>
  </si>
  <si>
    <t>Total Variable Costs</t>
  </si>
  <si>
    <t>Break Even Yield</t>
  </si>
  <si>
    <t>Break Even Price</t>
  </si>
  <si>
    <t>Current New Crop Basis</t>
  </si>
  <si>
    <t>Cotton Seed</t>
  </si>
  <si>
    <t>--</t>
  </si>
  <si>
    <t>Notes</t>
  </si>
  <si>
    <t>Return above Variable Costs</t>
  </si>
  <si>
    <t>Year</t>
  </si>
  <si>
    <t>Cotton</t>
  </si>
  <si>
    <t>bu/ac</t>
  </si>
  <si>
    <t>5-yr Aver</t>
  </si>
  <si>
    <t>3-yr Aver</t>
  </si>
  <si>
    <t>3-yr/5-yr</t>
  </si>
  <si>
    <t>Source: USDA, NASS</t>
  </si>
  <si>
    <t>Department of Agricultural and Resource Economics, NCSU</t>
  </si>
  <si>
    <t>Soybean</t>
  </si>
  <si>
    <t>Sorghum</t>
  </si>
  <si>
    <t xml:space="preserve">  INTEREST ON OP. CAP.</t>
  </si>
  <si>
    <t xml:space="preserve">  LAND RENT</t>
  </si>
  <si>
    <t xml:space="preserve">  SCOUT</t>
  </si>
  <si>
    <t xml:space="preserve">  LABOR</t>
  </si>
  <si>
    <t xml:space="preserve">  TRACTOR/MACHINERY</t>
  </si>
  <si>
    <t xml:space="preserve">  HAULING</t>
  </si>
  <si>
    <t xml:space="preserve">  INSECTICIDES</t>
  </si>
  <si>
    <t xml:space="preserve">  HERBICIDES</t>
  </si>
  <si>
    <t xml:space="preserve">    POTASH (0-0-60)</t>
  </si>
  <si>
    <t xml:space="preserve">    PHOSPHATE (0-46-0)</t>
  </si>
  <si>
    <t xml:space="preserve">    NITROGEN 30%</t>
  </si>
  <si>
    <t xml:space="preserve">  FERTILIZER </t>
  </si>
  <si>
    <t xml:space="preserve">  FUNGICIDES</t>
  </si>
  <si>
    <t xml:space="preserve">  SURFACTANT</t>
  </si>
  <si>
    <t xml:space="preserve">    BORON</t>
  </si>
  <si>
    <t xml:space="preserve">    SULFUR</t>
  </si>
  <si>
    <t xml:space="preserve">  GROWTH REG. &amp; DEFOLIANTS</t>
  </si>
  <si>
    <t xml:space="preserve">  CROP INSURANCE</t>
  </si>
  <si>
    <t>Total Cost</t>
  </si>
  <si>
    <t>Total Fixed Costs</t>
  </si>
  <si>
    <t>NET RETURNS TO FARMER AND RISK:</t>
  </si>
  <si>
    <t>FIXED EXPENSES</t>
  </si>
  <si>
    <t>Total Cost/ bu. - lb.</t>
  </si>
  <si>
    <t>Variable Cost/ bu. - lb.</t>
  </si>
  <si>
    <t>Income Above Variable Cost per bu. - lb.</t>
  </si>
  <si>
    <t>Net Return/ bu. - lb.</t>
  </si>
  <si>
    <t>Corn Acres</t>
  </si>
  <si>
    <t>Soy Acres</t>
  </si>
  <si>
    <t>Sorghum Acres</t>
  </si>
  <si>
    <t>Cotton Acres</t>
  </si>
  <si>
    <t>Double Crop Wheat Acres</t>
  </si>
  <si>
    <t>Potential Total Farm Income</t>
  </si>
  <si>
    <t>Total Farm Variable Cost</t>
  </si>
  <si>
    <t>Total Farm Cost</t>
  </si>
  <si>
    <t xml:space="preserve"> *TRACTOR/MACHINERY</t>
  </si>
  <si>
    <t>Enter Average Land Rent Value Here</t>
  </si>
  <si>
    <r>
      <t xml:space="preserve">Nick Piggott, </t>
    </r>
    <r>
      <rPr>
        <i/>
        <sz val="10"/>
        <color theme="1"/>
        <rFont val="Arial"/>
        <family val="2"/>
      </rPr>
      <t>Professor and Extension Specialist</t>
    </r>
  </si>
  <si>
    <r>
      <t xml:space="preserve">Derek Washburn, </t>
    </r>
    <r>
      <rPr>
        <i/>
        <sz val="10"/>
        <color theme="1"/>
        <rFont val="Arial"/>
        <family val="2"/>
      </rPr>
      <t>Program Associate</t>
    </r>
  </si>
  <si>
    <r>
      <t xml:space="preserve">Cotton </t>
    </r>
    <r>
      <rPr>
        <sz val="12"/>
        <color theme="1"/>
        <rFont val="Arial"/>
        <family val="2"/>
      </rPr>
      <t>(ginning not included)</t>
    </r>
  </si>
  <si>
    <t>Wheat only Acres</t>
  </si>
  <si>
    <t>Break Even Yield % of 5 yr. aver.</t>
  </si>
  <si>
    <t>*Machinery fixed cost are based on a average between new and 3 year old equipment, ownership cost assumes taxes, insurance, and depreciation cost equal to purchase price - used value /years of ownership</t>
  </si>
  <si>
    <t>Yield (lbs./acre)--Cotton Seed</t>
  </si>
  <si>
    <t>Cost and Income Summary Table</t>
  </si>
  <si>
    <r>
      <t>VARIABLE EXPENSES</t>
    </r>
    <r>
      <rPr>
        <b/>
        <vertAlign val="superscript"/>
        <sz val="12"/>
        <color theme="1"/>
        <rFont val="Arial"/>
        <family val="2"/>
      </rPr>
      <t>1</t>
    </r>
  </si>
  <si>
    <r>
      <t>Yield (bu/acre)</t>
    </r>
    <r>
      <rPr>
        <b/>
        <vertAlign val="superscript"/>
        <sz val="12"/>
        <color theme="1"/>
        <rFont val="Arial"/>
        <family val="2"/>
      </rPr>
      <t>1</t>
    </r>
    <r>
      <rPr>
        <b/>
        <sz val="12"/>
        <color theme="1"/>
        <rFont val="Arial"/>
        <family val="2"/>
      </rPr>
      <t xml:space="preserve"> </t>
    </r>
  </si>
  <si>
    <r>
      <t>EXPECTED NET PRICE (New Crop Futures + Basis)</t>
    </r>
    <r>
      <rPr>
        <b/>
        <vertAlign val="superscript"/>
        <sz val="12"/>
        <color theme="1"/>
        <rFont val="Arial"/>
        <family val="2"/>
      </rPr>
      <t>2</t>
    </r>
  </si>
  <si>
    <t xml:space="preserve">Assumptions: </t>
  </si>
  <si>
    <t>***Crop insurance costs are estimated 2018 "Producer Premium Amount" (in $/acre) for Revenue Protection Insurance based on the RMA Cost Estimator (subsidy is applied)</t>
  </si>
  <si>
    <t>Prepared on (1/18/2019):</t>
  </si>
  <si>
    <t xml:space="preserve">    DAP (18-46-0)</t>
  </si>
  <si>
    <t>SOYBEANS</t>
  </si>
  <si>
    <t>MOUNTAIN</t>
  </si>
  <si>
    <t>BUNCOMBE</t>
  </si>
  <si>
    <t>Average</t>
  </si>
  <si>
    <t>CHEROKEE</t>
  </si>
  <si>
    <t>HENDERSON</t>
  </si>
  <si>
    <t>Median</t>
  </si>
  <si>
    <t>MACON</t>
  </si>
  <si>
    <t>MCDOWELL</t>
  </si>
  <si>
    <t>Range</t>
  </si>
  <si>
    <t>TRANSYLVANIA</t>
  </si>
  <si>
    <t>PIEDMONT</t>
  </si>
  <si>
    <t>ALAMANCE</t>
  </si>
  <si>
    <t>ALEXANDER</t>
  </si>
  <si>
    <t>ANSON</t>
  </si>
  <si>
    <t>BURKE</t>
  </si>
  <si>
    <t>CABARRUS</t>
  </si>
  <si>
    <t>GASTON</t>
  </si>
  <si>
    <t>CASWELL</t>
  </si>
  <si>
    <t>CATAWBA</t>
  </si>
  <si>
    <t>CHATHAM</t>
  </si>
  <si>
    <t>CLEVELAND</t>
  </si>
  <si>
    <t>DAVIDSON</t>
  </si>
  <si>
    <t>DAVIE</t>
  </si>
  <si>
    <t>FORSYTH</t>
  </si>
  <si>
    <t>FRANKLIN</t>
  </si>
  <si>
    <t>GRANVILLE</t>
  </si>
  <si>
    <t>GUILFORD</t>
  </si>
  <si>
    <t>IREDELL</t>
  </si>
  <si>
    <t>LINCOLN</t>
  </si>
  <si>
    <t>MONTGOMERY</t>
  </si>
  <si>
    <t>ORANGE</t>
  </si>
  <si>
    <t>PERSON</t>
  </si>
  <si>
    <t>RANDOLPH</t>
  </si>
  <si>
    <t>ROCKINGHAM</t>
  </si>
  <si>
    <t>ROWAN</t>
  </si>
  <si>
    <t>RUTHERFORD</t>
  </si>
  <si>
    <t>STANLY</t>
  </si>
  <si>
    <t>STOKES</t>
  </si>
  <si>
    <t>SURRY</t>
  </si>
  <si>
    <t>UNION</t>
  </si>
  <si>
    <t>WAKE</t>
  </si>
  <si>
    <t>WILKES</t>
  </si>
  <si>
    <t>VANCE</t>
  </si>
  <si>
    <t>WARREN</t>
  </si>
  <si>
    <t>RICHMOND</t>
  </si>
  <si>
    <t>MECKLENBURG</t>
  </si>
  <si>
    <t>YADKIN</t>
  </si>
  <si>
    <t>SANDHILLS</t>
  </si>
  <si>
    <t>HOKE</t>
  </si>
  <si>
    <t>LEE</t>
  </si>
  <si>
    <t>MOORE</t>
  </si>
  <si>
    <t>SCOTLAND</t>
  </si>
  <si>
    <t>COASTAL PLAIN</t>
  </si>
  <si>
    <t>BERTIE</t>
  </si>
  <si>
    <t>BLADEN</t>
  </si>
  <si>
    <t>COLUMBUS</t>
  </si>
  <si>
    <t>CUMBERLAND</t>
  </si>
  <si>
    <t>DUPLIN</t>
  </si>
  <si>
    <t>EDGECOMBE</t>
  </si>
  <si>
    <t>GATES</t>
  </si>
  <si>
    <t>GREENE</t>
  </si>
  <si>
    <t>HALIFAX</t>
  </si>
  <si>
    <t>HARNETT</t>
  </si>
  <si>
    <t>HERTFORD</t>
  </si>
  <si>
    <t>JOHNSTON</t>
  </si>
  <si>
    <t>JONES</t>
  </si>
  <si>
    <t>LENOIR</t>
  </si>
  <si>
    <t>MARTIN</t>
  </si>
  <si>
    <t>NASH</t>
  </si>
  <si>
    <t>NORTHAMPTON</t>
  </si>
  <si>
    <t>PITT</t>
  </si>
  <si>
    <t>ROBESON</t>
  </si>
  <si>
    <t>SAMPSON</t>
  </si>
  <si>
    <t>WAYNE</t>
  </si>
  <si>
    <t>WILSON</t>
  </si>
  <si>
    <t>TIDEWATER</t>
  </si>
  <si>
    <t>BEAUFORT</t>
  </si>
  <si>
    <t>CAMDEN</t>
  </si>
  <si>
    <t>CHOWAN</t>
  </si>
  <si>
    <t>CRAVEN</t>
  </si>
  <si>
    <t>CURRITUCK</t>
  </si>
  <si>
    <t>HYDE</t>
  </si>
  <si>
    <t>PAMLICO</t>
  </si>
  <si>
    <t>PASQUOTANK</t>
  </si>
  <si>
    <t>PERQUIMANS</t>
  </si>
  <si>
    <t>TYRRELL</t>
  </si>
  <si>
    <t>WASHINGTON</t>
  </si>
  <si>
    <t>BRUNSWICK</t>
  </si>
  <si>
    <t>ONSLOW</t>
  </si>
  <si>
    <t>PENDER</t>
  </si>
  <si>
    <t>OTHER COUNTIES COMBINED</t>
  </si>
  <si>
    <t xml:space="preserve">CORN </t>
  </si>
  <si>
    <t>CALDWELL</t>
  </si>
  <si>
    <t>Peanuts</t>
  </si>
  <si>
    <t>Tobacco</t>
  </si>
  <si>
    <t>lbs/ac</t>
  </si>
  <si>
    <t>Peanut Acres</t>
  </si>
  <si>
    <t>Tobacco Acres</t>
  </si>
  <si>
    <t>Peanut</t>
  </si>
  <si>
    <t xml:space="preserve">  SEED or TRANSPLANTS</t>
  </si>
  <si>
    <t>Yield (lbs./acre)--Cotton, Peanuts and Tobacco</t>
  </si>
  <si>
    <r>
      <t xml:space="preserve">  LIME</t>
    </r>
    <r>
      <rPr>
        <sz val="10"/>
        <color indexed="8"/>
        <rFont val="Arial"/>
        <family val="2"/>
      </rPr>
      <t xml:space="preserve"> (PRORATED)</t>
    </r>
  </si>
  <si>
    <r>
      <t xml:space="preserve">  GYPSUM </t>
    </r>
    <r>
      <rPr>
        <sz val="10"/>
        <color indexed="8"/>
        <rFont val="Arial"/>
        <family val="2"/>
      </rPr>
      <t>(SPREAD)</t>
    </r>
  </si>
  <si>
    <t xml:space="preserve">  DRYING</t>
  </si>
  <si>
    <t xml:space="preserve">  INOCULANT</t>
  </si>
  <si>
    <t xml:space="preserve">    MANGANESE</t>
  </si>
  <si>
    <r>
      <t xml:space="preserve">  NATIONAL ASSESMENT </t>
    </r>
    <r>
      <rPr>
        <sz val="8"/>
        <color indexed="8"/>
        <rFont val="Arial"/>
        <family val="2"/>
      </rPr>
      <t>(PEANUTS)</t>
    </r>
  </si>
  <si>
    <r>
      <t xml:space="preserve">  STATE CHECK-OFF FEE </t>
    </r>
    <r>
      <rPr>
        <sz val="8"/>
        <color indexed="8"/>
        <rFont val="Arial"/>
        <family val="2"/>
      </rPr>
      <t>(PEANUTS)</t>
    </r>
  </si>
  <si>
    <t xml:space="preserve">  AERIAL APPLICATION</t>
  </si>
  <si>
    <t xml:space="preserve">  MULTIPURPOSE FUMIGATION</t>
  </si>
  <si>
    <t xml:space="preserve">    0-0-50 POTASSIUM SULFATE</t>
  </si>
  <si>
    <t xml:space="preserve">    9-45-15 Transplant Starter</t>
  </si>
  <si>
    <t xml:space="preserve">  SUCKER CONTROL</t>
  </si>
  <si>
    <t xml:space="preserve">  ELECTRICITY</t>
  </si>
  <si>
    <t xml:space="preserve">  CURING FUEL</t>
  </si>
  <si>
    <t xml:space="preserve">  BAILING SUPPLIES</t>
  </si>
  <si>
    <t xml:space="preserve">  COVER CROP</t>
  </si>
  <si>
    <t>-</t>
  </si>
  <si>
    <t>Variable Cost per Acre</t>
  </si>
  <si>
    <t>Total Cost Per Acre</t>
  </si>
  <si>
    <t>Income Above Variable Cost per Acre</t>
  </si>
  <si>
    <t>Three Year Average by County</t>
  </si>
  <si>
    <t>Region</t>
  </si>
  <si>
    <t>Budget Comparison 2020 Crop Year Given Current Market Conditions and Expected Yields</t>
  </si>
  <si>
    <t>N/A</t>
  </si>
  <si>
    <t>Farm Total</t>
  </si>
  <si>
    <t>FARM OVERHEAD</t>
  </si>
  <si>
    <t>Only enter values in yellow cells</t>
  </si>
  <si>
    <t>Farm Income Over Variable Cost</t>
  </si>
  <si>
    <t>Farm Return</t>
  </si>
  <si>
    <t>Farm Overhead by Acres/Crop</t>
  </si>
  <si>
    <t>Net Farm Return</t>
  </si>
  <si>
    <t>TOTAL FARM PROGRAM PAYMENTS BY ACRE</t>
  </si>
  <si>
    <t>TOTAL FARM OVERHEAD PER ACRE</t>
  </si>
  <si>
    <t xml:space="preserve">  GINNING**</t>
  </si>
  <si>
    <t xml:space="preserve">  CROP INSURANCE***</t>
  </si>
  <si>
    <t>Soy: Beaufort county, 75% coverage level, 38 bu/ac approved/rate yield, $10.09/bu projected price, non-irrigated, soybean cost of production comes from the 2020 soybean coventional budget</t>
  </si>
  <si>
    <t>Corn: Robeson county, 75% coverage level, 104 bu/ac approved/rate yield, $3.91/bu projected price, non-irrigated, corn cost of production comes from the 2020 corn conventional budget</t>
  </si>
  <si>
    <t>Wheat: Union county, 75% coverage level, 62 bu/ac approved/rate yield, $4.87/bu projected price, winter wheat, non-irrigated, wheat cost comes from the 2020 Conventional wheat budget</t>
  </si>
  <si>
    <t>Sorghum: Johnston county, 75% coverage level, 36 bu/ac approved/rate yield, $3.78/bu projected price, non-irrigated, cost of production comes from the 2020 Conventional Sorghum budget</t>
  </si>
  <si>
    <t>Cotton: Northampton county, 75% coverage level, 871 lbs/ac approved/rate yield, $0.75/bu projected price, non-irrigated- Cotton cost of production comes from the 2020 strip till budget, this budget includes the cost and labor associated with a tractor mounted sprayer, cotton picker, module builder, and bale hauler. Other cotton budgets utilize a 100ft boom sprayer and cotton picker/bailer with a bale hauler</t>
  </si>
  <si>
    <t>Tobacco: cost of production comes from the 2020 East Machine Harvest budget</t>
  </si>
  <si>
    <t>Peanuts: peanut cost of production comes from the 2020 Conventional Virginia Type budget</t>
  </si>
  <si>
    <t xml:space="preserve">Notes: (1) County selection for insurance cost for each crop above based on the no. 1 producing county in NC for 2017 </t>
  </si>
  <si>
    <t xml:space="preserve">           (2) Approved/rate yield based on historical county average for those counties</t>
  </si>
  <si>
    <t>Bulk Barn, Tobacco Loading system, Bailer, H2A overhead (for tobacco only)</t>
  </si>
  <si>
    <t xml:space="preserve">**estimated ginning cost per lb is </t>
  </si>
  <si>
    <t xml:space="preserve">real cost of ginning PER LB after cotton seed is sold </t>
  </si>
  <si>
    <t>Program Payments by Total Crop Acerage from column C</t>
  </si>
  <si>
    <t>https://cals.ncsu.edu/are-extension/business-planning-and-operations/enterprise-budgets/</t>
  </si>
  <si>
    <t>Sweet Potatoes</t>
  </si>
  <si>
    <r>
      <t xml:space="preserve">Price </t>
    </r>
    <r>
      <rPr>
        <b/>
        <sz val="11"/>
        <color theme="1"/>
        <rFont val="Arial"/>
        <family val="2"/>
      </rPr>
      <t>(New Crop Futures Price from CME &amp; NYBOT 1/18/2019) or contract price</t>
    </r>
  </si>
  <si>
    <t xml:space="preserve">    24S LIQUID</t>
  </si>
  <si>
    <t xml:space="preserve">  NEMATICIDES</t>
  </si>
  <si>
    <t>****Harvest Cost and Storage cost are tied directly to sweet potato harvest in bushels per acre at $1.50 and $1.00 respectively</t>
  </si>
  <si>
    <t xml:space="preserve">  HARVEST COST****</t>
  </si>
  <si>
    <t xml:space="preserve">  STORAGE****</t>
  </si>
  <si>
    <t>--------------------------------------------------------------------------------FARM OVERHEAD IS INCLUDED ON THE CROP AND FARM SUMMARY SHEET------------------------------------------------------------------------------------------------</t>
  </si>
  <si>
    <t>sweet potatoes lb/bu conversion</t>
  </si>
  <si>
    <t>lbs</t>
  </si>
  <si>
    <t>Net Return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</si>
</sst>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0.0%"/>
  </numFmts>
  <fonts count="3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b/>
      <sz val="10"/>
      <color theme="1"/>
      <name val="Arial"/>
      <family val="2"/>
    </font>
    <font>
      <sz val="10"/>
      <color theme="1"/>
      <name val="Arial"/>
      <family val="2"/>
    </font>
    <font>
      <sz val="10"/>
      <color theme="1"/>
      <name val="Calibri"/>
      <family val="2"/>
      <scheme val="minor"/>
    </font>
    <font>
      <b/>
      <sz val="12"/>
      <color theme="1"/>
      <name val="Arial"/>
      <family val="2"/>
    </font>
    <font>
      <sz val="36"/>
      <color rgb="FFFFFFFF"/>
      <name val="Arial"/>
      <family val="2"/>
    </font>
    <font>
      <sz val="12"/>
      <color rgb="FFFFFFFF"/>
      <name val="Arial"/>
      <family val="2"/>
    </font>
    <font>
      <sz val="12"/>
      <color indexed="8"/>
      <name val="Arial"/>
      <family val="2"/>
    </font>
    <font>
      <b/>
      <sz val="12"/>
      <color indexed="8"/>
      <name val="Arial"/>
      <family val="2"/>
    </font>
    <font>
      <sz val="9"/>
      <color indexed="81"/>
      <name val="Tahoma"/>
      <family val="2"/>
    </font>
    <font>
      <b/>
      <sz val="9"/>
      <color indexed="81"/>
      <name val="Tahoma"/>
      <family val="2"/>
    </font>
    <font>
      <sz val="12"/>
      <color theme="1"/>
      <name val="Arial"/>
      <family val="2"/>
    </font>
    <font>
      <b/>
      <sz val="36"/>
      <color rgb="FFFFFFFF"/>
      <name val="Arial"/>
      <family val="2"/>
    </font>
    <font>
      <b/>
      <sz val="18"/>
      <color rgb="FFFFFFFF"/>
      <name val="Arial"/>
      <family val="2"/>
    </font>
    <font>
      <i/>
      <sz val="10"/>
      <color theme="1"/>
      <name val="Arial"/>
      <family val="2"/>
    </font>
    <font>
      <sz val="9"/>
      <color theme="1"/>
      <name val="Arial"/>
      <family val="2"/>
    </font>
    <font>
      <b/>
      <vertAlign val="superscript"/>
      <sz val="12"/>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
      <sz val="10"/>
      <color indexed="8"/>
      <name val="Arial"/>
      <family val="2"/>
    </font>
    <font>
      <sz val="8"/>
      <color indexed="8"/>
      <name val="Arial"/>
      <family val="2"/>
    </font>
    <font>
      <b/>
      <sz val="18"/>
      <color theme="1"/>
      <name val="Calibri"/>
      <family val="2"/>
      <scheme val="minor"/>
    </font>
    <font>
      <b/>
      <sz val="16"/>
      <color theme="1"/>
      <name val="Arial"/>
      <family val="2"/>
    </font>
    <font>
      <sz val="8"/>
      <color theme="1"/>
      <name val="Arial"/>
      <family val="2"/>
    </font>
    <font>
      <b/>
      <sz val="12"/>
      <color rgb="FFFFFFFF"/>
      <name val="Arial"/>
      <family val="2"/>
    </font>
    <font>
      <b/>
      <sz val="12"/>
      <name val="Arial"/>
      <family val="2"/>
    </font>
    <font>
      <sz val="9"/>
      <color indexed="81"/>
      <name val="Tahoma"/>
      <charset val="1"/>
    </font>
    <font>
      <b/>
      <sz val="9"/>
      <color indexed="81"/>
      <name val="Tahoma"/>
      <charset val="1"/>
    </font>
    <font>
      <u/>
      <sz val="11"/>
      <color theme="10"/>
      <name val="Calibri"/>
      <family val="2"/>
      <scheme val="minor"/>
    </font>
    <font>
      <sz val="11"/>
      <color rgb="FFC00000"/>
      <name val="Arial"/>
      <family val="2"/>
    </font>
    <font>
      <sz val="12"/>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bgColor indexed="64"/>
      </patternFill>
    </fill>
    <fill>
      <patternFill patternType="solid">
        <fgColor rgb="FFCC99FF"/>
        <bgColor indexed="64"/>
      </patternFill>
    </fill>
    <fill>
      <patternFill patternType="solid">
        <fgColor theme="7"/>
        <bgColor indexed="64"/>
      </patternFill>
    </fill>
    <fill>
      <patternFill patternType="gray125">
        <bgColor rgb="FF92D050"/>
      </patternFill>
    </fill>
    <fill>
      <patternFill patternType="solid">
        <fgColor rgb="FF92D050"/>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rgb="FFC00000"/>
        <bgColor indexed="64"/>
      </patternFill>
    </fill>
  </fills>
  <borders count="21">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95">
    <xf numFmtId="0" fontId="0" fillId="0" borderId="0" xfId="0"/>
    <xf numFmtId="1" fontId="5" fillId="5" borderId="2" xfId="0" applyNumberFormat="1" applyFont="1" applyFill="1" applyBorder="1"/>
    <xf numFmtId="1" fontId="6" fillId="6" borderId="2" xfId="0" applyNumberFormat="1" applyFont="1" applyFill="1" applyBorder="1" applyAlignment="1">
      <alignment horizontal="right"/>
    </xf>
    <xf numFmtId="0" fontId="6" fillId="0" borderId="4" xfId="0" applyFont="1" applyBorder="1"/>
    <xf numFmtId="0" fontId="6" fillId="0" borderId="3" xfId="0" applyFont="1" applyBorder="1" applyAlignment="1">
      <alignment horizontal="center"/>
    </xf>
    <xf numFmtId="0" fontId="6" fillId="0" borderId="5" xfId="0" applyFont="1" applyBorder="1"/>
    <xf numFmtId="0" fontId="6" fillId="0" borderId="0" xfId="0" applyFont="1" applyBorder="1" applyAlignment="1">
      <alignment horizontal="center"/>
    </xf>
    <xf numFmtId="0" fontId="6" fillId="5" borderId="7" xfId="0" applyFont="1" applyFill="1" applyBorder="1"/>
    <xf numFmtId="0" fontId="6" fillId="6" borderId="7" xfId="0" applyFont="1" applyFill="1" applyBorder="1"/>
    <xf numFmtId="165" fontId="6" fillId="0" borderId="0" xfId="0" applyNumberFormat="1" applyFont="1" applyBorder="1"/>
    <xf numFmtId="0" fontId="6" fillId="0" borderId="8" xfId="0" applyFont="1" applyBorder="1"/>
    <xf numFmtId="0" fontId="7" fillId="0" borderId="1" xfId="0" applyFont="1" applyBorder="1"/>
    <xf numFmtId="2" fontId="11" fillId="0" borderId="0" xfId="0" applyNumberFormat="1" applyFont="1" applyFill="1" applyBorder="1" applyAlignment="1" applyProtection="1">
      <protection locked="0"/>
    </xf>
    <xf numFmtId="2" fontId="11" fillId="0" borderId="0" xfId="0" applyNumberFormat="1" applyFont="1" applyFill="1" applyAlignment="1" applyProtection="1">
      <protection locked="0"/>
    </xf>
    <xf numFmtId="0" fontId="6" fillId="0" borderId="6" xfId="0" applyFont="1" applyFill="1" applyBorder="1" applyAlignment="1">
      <alignment horizontal="center"/>
    </xf>
    <xf numFmtId="0" fontId="0" fillId="0" borderId="6" xfId="0" applyBorder="1"/>
    <xf numFmtId="0" fontId="0" fillId="0" borderId="9" xfId="0" applyBorder="1"/>
    <xf numFmtId="0" fontId="0" fillId="0" borderId="6" xfId="0" applyBorder="1" applyAlignment="1">
      <alignment horizontal="center"/>
    </xf>
    <xf numFmtId="1" fontId="6" fillId="6" borderId="10" xfId="0" applyNumberFormat="1" applyFont="1" applyFill="1" applyBorder="1" applyAlignment="1">
      <alignment horizontal="right"/>
    </xf>
    <xf numFmtId="2" fontId="12" fillId="0" borderId="0" xfId="0" applyNumberFormat="1" applyFont="1" applyFill="1" applyBorder="1" applyAlignment="1" applyProtection="1">
      <protection locked="0"/>
    </xf>
    <xf numFmtId="0" fontId="15" fillId="0" borderId="0" xfId="0" applyFont="1"/>
    <xf numFmtId="0" fontId="8"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0" fontId="4" fillId="3" borderId="1" xfId="0" applyFont="1" applyFill="1" applyBorder="1" applyProtection="1">
      <protection locked="0"/>
    </xf>
    <xf numFmtId="8" fontId="2" fillId="3" borderId="1" xfId="0" applyNumberFormat="1" applyFont="1" applyFill="1" applyBorder="1" applyAlignment="1" applyProtection="1">
      <alignment horizontal="right"/>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4" borderId="0" xfId="0" applyFont="1" applyFill="1" applyAlignment="1" applyProtection="1">
      <alignment horizontal="center"/>
      <protection locked="0"/>
    </xf>
    <xf numFmtId="1" fontId="2" fillId="4" borderId="0" xfId="0" applyNumberFormat="1" applyFont="1" applyFill="1" applyAlignment="1" applyProtection="1">
      <alignment horizontal="right"/>
      <protection locked="0"/>
    </xf>
    <xf numFmtId="8" fontId="2" fillId="4" borderId="0" xfId="0" applyNumberFormat="1" applyFont="1" applyFill="1" applyAlignment="1" applyProtection="1">
      <alignment horizontal="right"/>
      <protection locked="0"/>
    </xf>
    <xf numFmtId="0"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6" fillId="0" borderId="0" xfId="0" applyFont="1" applyAlignment="1" applyProtection="1">
      <alignment horizontal="left"/>
      <protection locked="0"/>
    </xf>
    <xf numFmtId="0" fontId="8" fillId="8" borderId="2" xfId="0" applyFont="1" applyFill="1" applyBorder="1" applyAlignment="1" applyProtection="1">
      <alignment horizontal="left"/>
      <protection locked="0"/>
    </xf>
    <xf numFmtId="8" fontId="8" fillId="8" borderId="2" xfId="1" applyNumberFormat="1" applyFont="1" applyFill="1" applyBorder="1" applyAlignment="1" applyProtection="1">
      <alignment horizontal="right"/>
      <protection locked="0"/>
    </xf>
    <xf numFmtId="0" fontId="4" fillId="3" borderId="14" xfId="0" applyFont="1" applyFill="1" applyBorder="1" applyProtection="1">
      <protection locked="0"/>
    </xf>
    <xf numFmtId="164" fontId="2" fillId="3" borderId="14" xfId="0" applyNumberFormat="1" applyFont="1" applyFill="1" applyBorder="1" applyProtection="1">
      <protection locked="0"/>
    </xf>
    <xf numFmtId="164" fontId="15" fillId="0" borderId="0" xfId="0" applyNumberFormat="1" applyFont="1" applyProtection="1">
      <protection locked="0"/>
    </xf>
    <xf numFmtId="0" fontId="6" fillId="0" borderId="0" xfId="0" applyFont="1" applyProtection="1">
      <protection locked="0"/>
    </xf>
    <xf numFmtId="0" fontId="3" fillId="0" borderId="0" xfId="0" applyFont="1"/>
    <xf numFmtId="0" fontId="2" fillId="0" borderId="0" xfId="0" applyFont="1" applyAlignment="1">
      <alignment horizontal="center" wrapText="1"/>
    </xf>
    <xf numFmtId="0" fontId="3" fillId="0" borderId="0" xfId="0" applyFont="1" applyFill="1"/>
    <xf numFmtId="0" fontId="3" fillId="0" borderId="0" xfId="0" applyFont="1" applyAlignment="1">
      <alignment horizontal="right"/>
    </xf>
    <xf numFmtId="7" fontId="3" fillId="0" borderId="0" xfId="1" applyNumberFormat="1" applyFont="1" applyBorder="1" applyAlignment="1">
      <alignment horizontal="center"/>
    </xf>
    <xf numFmtId="0" fontId="3" fillId="0" borderId="0" xfId="0" applyFont="1" applyBorder="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8" fillId="0" borderId="0" xfId="0" applyFont="1"/>
    <xf numFmtId="44" fontId="15" fillId="0" borderId="0" xfId="1" applyFont="1"/>
    <xf numFmtId="44" fontId="15" fillId="0" borderId="0" xfId="0" applyNumberFormat="1" applyFont="1"/>
    <xf numFmtId="44" fontId="15" fillId="0" borderId="0" xfId="1" applyFont="1" applyBorder="1"/>
    <xf numFmtId="44" fontId="8" fillId="0" borderId="0" xfId="0" applyNumberFormat="1" applyFont="1"/>
    <xf numFmtId="0" fontId="8" fillId="0" borderId="0" xfId="0" applyFont="1" applyAlignment="1"/>
    <xf numFmtId="44" fontId="15" fillId="0" borderId="0" xfId="1" applyFont="1" applyAlignment="1"/>
    <xf numFmtId="44" fontId="15" fillId="0" borderId="0" xfId="0" applyNumberFormat="1" applyFont="1" applyAlignment="1"/>
    <xf numFmtId="0" fontId="15" fillId="0" borderId="0" xfId="0" applyFont="1" applyAlignment="1">
      <alignment horizontal="right"/>
    </xf>
    <xf numFmtId="2" fontId="10" fillId="2" borderId="0" xfId="0" applyNumberFormat="1" applyFont="1" applyFill="1" applyBorder="1" applyAlignment="1" applyProtection="1">
      <protection locked="0"/>
    </xf>
    <xf numFmtId="1" fontId="15" fillId="7" borderId="11" xfId="0" applyNumberFormat="1" applyFont="1" applyFill="1" applyBorder="1" applyAlignment="1">
      <alignment horizontal="center"/>
    </xf>
    <xf numFmtId="1" fontId="15" fillId="7" borderId="12" xfId="0" applyNumberFormat="1" applyFont="1" applyFill="1" applyBorder="1" applyAlignment="1">
      <alignment horizontal="center"/>
    </xf>
    <xf numFmtId="0" fontId="15" fillId="0" borderId="0" xfId="0" applyFont="1" applyProtection="1">
      <protection locked="0"/>
    </xf>
    <xf numFmtId="0" fontId="15" fillId="0" borderId="0" xfId="0" applyFont="1" applyAlignment="1" applyProtection="1">
      <alignment horizontal="right"/>
      <protection locked="0"/>
    </xf>
    <xf numFmtId="0" fontId="8" fillId="0" borderId="0" xfId="0" applyFont="1" applyAlignment="1" applyProtection="1">
      <alignment horizontal="center"/>
      <protection locked="0"/>
    </xf>
    <xf numFmtId="8" fontId="15" fillId="0" borderId="0" xfId="0" quotePrefix="1" applyNumberFormat="1" applyFont="1" applyAlignment="1" applyProtection="1">
      <alignment horizontal="center"/>
      <protection locked="0"/>
    </xf>
    <xf numFmtId="3" fontId="15" fillId="2" borderId="0" xfId="0" applyNumberFormat="1" applyFont="1" applyFill="1" applyAlignment="1" applyProtection="1">
      <alignment horizontal="center" vertical="center"/>
      <protection locked="0"/>
    </xf>
    <xf numFmtId="8" fontId="15" fillId="7" borderId="0" xfId="0" applyNumberFormat="1" applyFont="1" applyFill="1" applyAlignment="1" applyProtection="1">
      <alignment horizontal="center"/>
      <protection locked="0"/>
    </xf>
    <xf numFmtId="0" fontId="8" fillId="8" borderId="2" xfId="0" applyFont="1" applyFill="1" applyBorder="1" applyProtection="1">
      <protection locked="0"/>
    </xf>
    <xf numFmtId="8" fontId="8" fillId="8" borderId="2" xfId="0" applyNumberFormat="1" applyFont="1" applyFill="1" applyBorder="1" applyAlignment="1" applyProtection="1">
      <alignment horizontal="center"/>
      <protection locked="0"/>
    </xf>
    <xf numFmtId="0" fontId="8" fillId="3" borderId="0" xfId="0" applyFont="1" applyFill="1" applyProtection="1">
      <protection locked="0"/>
    </xf>
    <xf numFmtId="164" fontId="8" fillId="3" borderId="0" xfId="0" applyNumberFormat="1" applyFont="1" applyFill="1" applyAlignment="1" applyProtection="1">
      <alignment horizontal="center"/>
      <protection locked="0"/>
    </xf>
    <xf numFmtId="0" fontId="15" fillId="0" borderId="0" xfId="0" quotePrefix="1" applyFont="1" applyAlignment="1" applyProtection="1">
      <alignment horizontal="center"/>
      <protection locked="0"/>
    </xf>
    <xf numFmtId="0" fontId="19" fillId="0" borderId="0" xfId="0" applyFont="1" applyProtection="1">
      <protection locked="0"/>
    </xf>
    <xf numFmtId="0" fontId="23" fillId="9" borderId="0" xfId="0" applyFont="1" applyFill="1" applyAlignment="1">
      <alignment horizontal="center"/>
    </xf>
    <xf numFmtId="0" fontId="21" fillId="9" borderId="0" xfId="0" applyFont="1" applyFill="1"/>
    <xf numFmtId="0" fontId="0" fillId="9" borderId="0" xfId="0" applyFill="1"/>
    <xf numFmtId="0" fontId="0" fillId="9" borderId="0" xfId="0" applyFill="1" applyAlignment="1">
      <alignment horizontal="left"/>
    </xf>
    <xf numFmtId="1" fontId="0" fillId="9" borderId="0" xfId="0" applyNumberFormat="1" applyFill="1"/>
    <xf numFmtId="1" fontId="21" fillId="9" borderId="0" xfId="0" applyNumberFormat="1" applyFont="1" applyFill="1"/>
    <xf numFmtId="0" fontId="23" fillId="3" borderId="0" xfId="0" applyFont="1" applyFill="1" applyAlignment="1">
      <alignment horizontal="center"/>
    </xf>
    <xf numFmtId="1" fontId="21" fillId="3" borderId="0" xfId="0" applyNumberFormat="1" applyFont="1" applyFill="1"/>
    <xf numFmtId="0" fontId="0" fillId="3" borderId="0" xfId="0" applyFill="1"/>
    <xf numFmtId="0" fontId="0" fillId="3" borderId="0" xfId="0" applyFill="1" applyAlignment="1">
      <alignment horizontal="left"/>
    </xf>
    <xf numFmtId="1" fontId="0" fillId="3" borderId="0" xfId="0" applyNumberFormat="1" applyFill="1"/>
    <xf numFmtId="0" fontId="21" fillId="3" borderId="0" xfId="0" applyFont="1" applyFill="1"/>
    <xf numFmtId="0" fontId="0" fillId="10" borderId="0" xfId="0" applyFill="1"/>
    <xf numFmtId="0" fontId="0" fillId="10" borderId="0" xfId="0" applyFill="1" applyAlignment="1">
      <alignment horizontal="left"/>
    </xf>
    <xf numFmtId="1" fontId="0" fillId="10" borderId="0" xfId="0" applyNumberFormat="1" applyFill="1"/>
    <xf numFmtId="0" fontId="21" fillId="10" borderId="0" xfId="0" applyFont="1" applyFill="1"/>
    <xf numFmtId="0" fontId="23" fillId="11" borderId="0" xfId="0" applyFont="1" applyFill="1" applyAlignment="1">
      <alignment horizontal="center"/>
    </xf>
    <xf numFmtId="0" fontId="0" fillId="11" borderId="0" xfId="0" applyFill="1"/>
    <xf numFmtId="0" fontId="0" fillId="11" borderId="0" xfId="0" applyFill="1" applyAlignment="1">
      <alignment horizontal="left"/>
    </xf>
    <xf numFmtId="1" fontId="0" fillId="11" borderId="0" xfId="0" applyNumberFormat="1" applyFill="1"/>
    <xf numFmtId="0" fontId="21" fillId="11" borderId="0" xfId="0" applyFont="1" applyFill="1"/>
    <xf numFmtId="1" fontId="21" fillId="11" borderId="0" xfId="0" applyNumberFormat="1" applyFont="1" applyFill="1"/>
    <xf numFmtId="0" fontId="23" fillId="12" borderId="0" xfId="0" applyFont="1" applyFill="1" applyAlignment="1">
      <alignment horizontal="center"/>
    </xf>
    <xf numFmtId="1" fontId="21" fillId="12" borderId="0" xfId="0" applyNumberFormat="1" applyFont="1" applyFill="1"/>
    <xf numFmtId="0" fontId="0" fillId="12" borderId="0" xfId="0" applyFill="1"/>
    <xf numFmtId="0" fontId="0" fillId="12" borderId="0" xfId="0" applyFill="1" applyAlignment="1">
      <alignment horizontal="left"/>
    </xf>
    <xf numFmtId="1" fontId="0" fillId="12" borderId="0" xfId="0" applyNumberFormat="1" applyFill="1"/>
    <xf numFmtId="0" fontId="21" fillId="12" borderId="0" xfId="0" applyFont="1" applyFill="1"/>
    <xf numFmtId="0" fontId="23" fillId="13" borderId="0" xfId="0" applyFont="1" applyFill="1" applyAlignment="1">
      <alignment horizontal="center"/>
    </xf>
    <xf numFmtId="1" fontId="21" fillId="13" borderId="0" xfId="0" applyNumberFormat="1" applyFont="1" applyFill="1"/>
    <xf numFmtId="0" fontId="0" fillId="14" borderId="0" xfId="0" applyFill="1"/>
    <xf numFmtId="0" fontId="0" fillId="14" borderId="0" xfId="0" applyFill="1" applyAlignment="1">
      <alignment horizontal="left"/>
    </xf>
    <xf numFmtId="1" fontId="0" fillId="14" borderId="0" xfId="0" applyNumberFormat="1" applyFill="1"/>
    <xf numFmtId="0" fontId="21" fillId="14" borderId="0" xfId="0" applyFont="1" applyFill="1"/>
    <xf numFmtId="1" fontId="21" fillId="14" borderId="0" xfId="0" applyNumberFormat="1" applyFont="1" applyFill="1"/>
    <xf numFmtId="0" fontId="0" fillId="2" borderId="0" xfId="0" applyFill="1"/>
    <xf numFmtId="0" fontId="0" fillId="2" borderId="0" xfId="0" applyFill="1" applyAlignment="1">
      <alignment horizontal="left"/>
    </xf>
    <xf numFmtId="1" fontId="0" fillId="2" borderId="0" xfId="0" applyNumberFormat="1" applyFill="1"/>
    <xf numFmtId="0" fontId="21" fillId="2" borderId="0" xfId="0" applyFont="1" applyFill="1"/>
    <xf numFmtId="1" fontId="0" fillId="13" borderId="0" xfId="0" applyNumberFormat="1" applyFill="1"/>
    <xf numFmtId="1" fontId="5" fillId="5" borderId="10" xfId="0" applyNumberFormat="1" applyFont="1" applyFill="1" applyBorder="1"/>
    <xf numFmtId="0" fontId="8" fillId="0" borderId="0" xfId="0" applyFont="1" applyAlignment="1" applyProtection="1">
      <alignment wrapText="1"/>
      <protection locked="0"/>
    </xf>
    <xf numFmtId="1" fontId="15" fillId="7" borderId="15" xfId="0" applyNumberFormat="1" applyFont="1" applyFill="1" applyBorder="1" applyAlignment="1">
      <alignment horizontal="center"/>
    </xf>
    <xf numFmtId="165" fontId="2" fillId="0" borderId="1" xfId="0" quotePrefix="1" applyNumberFormat="1" applyFont="1" applyBorder="1" applyAlignment="1" applyProtection="1">
      <alignment horizontal="center"/>
      <protection locked="0"/>
    </xf>
    <xf numFmtId="44" fontId="8" fillId="0" borderId="0" xfId="1" applyFont="1"/>
    <xf numFmtId="44" fontId="3" fillId="0" borderId="0" xfId="0" applyNumberFormat="1" applyFont="1"/>
    <xf numFmtId="0" fontId="6" fillId="0" borderId="0" xfId="0" applyFont="1" applyAlignment="1" applyProtection="1">
      <alignment horizontal="right"/>
      <protection locked="0"/>
    </xf>
    <xf numFmtId="8" fontId="3" fillId="0" borderId="0" xfId="0" applyNumberFormat="1" applyFont="1" applyProtection="1">
      <protection locked="0"/>
    </xf>
    <xf numFmtId="0" fontId="15" fillId="7" borderId="16" xfId="0" applyFont="1" applyFill="1" applyBorder="1" applyProtection="1">
      <protection locked="0"/>
    </xf>
    <xf numFmtId="0" fontId="19" fillId="0" borderId="0" xfId="0" applyFont="1" applyAlignment="1" applyProtection="1">
      <alignment horizontal="left" wrapText="1"/>
      <protection locked="0"/>
    </xf>
    <xf numFmtId="44" fontId="8" fillId="0" borderId="17" xfId="0" applyNumberFormat="1" applyFont="1" applyBorder="1"/>
    <xf numFmtId="1" fontId="15" fillId="7" borderId="19" xfId="0" applyNumberFormat="1" applyFont="1" applyFill="1" applyBorder="1" applyAlignment="1">
      <alignment horizontal="center"/>
    </xf>
    <xf numFmtId="44" fontId="15" fillId="0" borderId="18" xfId="0" applyNumberFormat="1" applyFont="1" applyBorder="1"/>
    <xf numFmtId="44" fontId="15" fillId="0" borderId="17" xfId="0" applyNumberFormat="1" applyFont="1" applyBorder="1"/>
    <xf numFmtId="44" fontId="8" fillId="2" borderId="0" xfId="0" quotePrefix="1" applyNumberFormat="1" applyFont="1" applyFill="1" applyAlignment="1">
      <alignment horizontal="center"/>
    </xf>
    <xf numFmtId="44" fontId="8" fillId="2" borderId="17" xfId="0" quotePrefix="1" applyNumberFormat="1" applyFont="1" applyFill="1" applyBorder="1" applyAlignment="1">
      <alignment horizontal="center"/>
    </xf>
    <xf numFmtId="1" fontId="8" fillId="2" borderId="0" xfId="0" applyNumberFormat="1" applyFont="1" applyFill="1"/>
    <xf numFmtId="9" fontId="15" fillId="0" borderId="0" xfId="2" applyFont="1" applyFill="1" applyBorder="1" applyProtection="1">
      <protection locked="0"/>
    </xf>
    <xf numFmtId="44" fontId="3" fillId="0" borderId="0" xfId="1" applyFont="1"/>
    <xf numFmtId="44" fontId="3" fillId="0" borderId="17" xfId="1" applyFont="1" applyBorder="1"/>
    <xf numFmtId="0" fontId="3" fillId="2" borderId="0" xfId="0" applyFont="1" applyFill="1"/>
    <xf numFmtId="44" fontId="3" fillId="0" borderId="17" xfId="0" applyNumberFormat="1" applyFont="1" applyBorder="1"/>
    <xf numFmtId="44" fontId="2" fillId="0" borderId="0" xfId="0" applyNumberFormat="1" applyFont="1"/>
    <xf numFmtId="10" fontId="30" fillId="7" borderId="0" xfId="2" applyNumberFormat="1" applyFont="1" applyFill="1" applyBorder="1" applyAlignment="1" applyProtection="1">
      <alignment horizontal="center"/>
      <protection locked="0"/>
    </xf>
    <xf numFmtId="44" fontId="3" fillId="7" borderId="11" xfId="1" applyFont="1" applyFill="1" applyBorder="1"/>
    <xf numFmtId="44" fontId="3" fillId="7" borderId="12" xfId="1" applyFont="1" applyFill="1" applyBorder="1"/>
    <xf numFmtId="44" fontId="3" fillId="7" borderId="13" xfId="1" applyFont="1" applyFill="1" applyBorder="1"/>
    <xf numFmtId="164" fontId="3" fillId="7" borderId="16" xfId="0" applyNumberFormat="1" applyFont="1" applyFill="1" applyBorder="1" applyProtection="1">
      <protection locked="0"/>
    </xf>
    <xf numFmtId="0" fontId="15" fillId="7" borderId="0" xfId="0" applyFont="1" applyFill="1" applyProtection="1">
      <protection locked="0"/>
    </xf>
    <xf numFmtId="0" fontId="15" fillId="7" borderId="0" xfId="0" applyFont="1" applyFill="1" applyAlignment="1" applyProtection="1">
      <alignment horizontal="center"/>
      <protection locked="0"/>
    </xf>
    <xf numFmtId="1" fontId="15" fillId="7" borderId="0" xfId="0" applyNumberFormat="1" applyFont="1" applyFill="1" applyAlignment="1" applyProtection="1">
      <alignment horizontal="center"/>
      <protection locked="0"/>
    </xf>
    <xf numFmtId="3" fontId="15" fillId="7" borderId="0" xfId="0" applyNumberFormat="1" applyFont="1" applyFill="1" applyAlignment="1" applyProtection="1">
      <alignment horizontal="center"/>
      <protection locked="0"/>
    </xf>
    <xf numFmtId="38" fontId="15" fillId="7" borderId="0" xfId="0" quotePrefix="1" applyNumberFormat="1" applyFont="1" applyFill="1" applyAlignment="1" applyProtection="1">
      <alignment horizontal="center"/>
      <protection locked="0"/>
    </xf>
    <xf numFmtId="8" fontId="15" fillId="7" borderId="0" xfId="0" quotePrefix="1" applyNumberFormat="1" applyFont="1" applyFill="1" applyAlignment="1" applyProtection="1">
      <alignment horizontal="center"/>
      <protection locked="0"/>
    </xf>
    <xf numFmtId="0" fontId="19" fillId="0" borderId="0" xfId="0" applyFont="1" applyAlignment="1" applyProtection="1">
      <alignment horizontal="left"/>
      <protection locked="0"/>
    </xf>
    <xf numFmtId="164" fontId="15" fillId="0" borderId="0" xfId="0" quotePrefix="1" applyNumberFormat="1" applyFont="1" applyAlignment="1" applyProtection="1">
      <alignment horizontal="center"/>
      <protection locked="0"/>
    </xf>
    <xf numFmtId="0" fontId="33" fillId="0" borderId="0" xfId="3"/>
    <xf numFmtId="0" fontId="34" fillId="15" borderId="0" xfId="0" applyFont="1" applyFill="1"/>
    <xf numFmtId="2" fontId="9" fillId="15" borderId="0" xfId="0" applyNumberFormat="1" applyFont="1" applyFill="1" applyBorder="1" applyAlignment="1" applyProtection="1">
      <protection locked="0"/>
    </xf>
    <xf numFmtId="2" fontId="10" fillId="15" borderId="0" xfId="0" applyNumberFormat="1" applyFont="1" applyFill="1" applyBorder="1" applyAlignment="1" applyProtection="1">
      <protection locked="0"/>
    </xf>
    <xf numFmtId="2" fontId="29" fillId="15" borderId="0" xfId="0" applyNumberFormat="1" applyFont="1" applyFill="1" applyBorder="1" applyAlignment="1" applyProtection="1">
      <alignment horizontal="right"/>
      <protection locked="0"/>
    </xf>
    <xf numFmtId="2" fontId="17" fillId="15" borderId="0" xfId="0" applyNumberFormat="1" applyFont="1" applyFill="1" applyBorder="1" applyAlignment="1" applyProtection="1">
      <protection locked="0"/>
    </xf>
    <xf numFmtId="2" fontId="16" fillId="15" borderId="0" xfId="0" applyNumberFormat="1" applyFont="1" applyFill="1" applyBorder="1" applyAlignment="1" applyProtection="1">
      <protection locked="0"/>
    </xf>
    <xf numFmtId="44" fontId="15" fillId="0" borderId="0" xfId="1" applyFont="1" applyFill="1"/>
    <xf numFmtId="44" fontId="15" fillId="0" borderId="0" xfId="1" applyFont="1" applyBorder="1" applyAlignment="1"/>
    <xf numFmtId="44" fontId="8" fillId="0" borderId="0" xfId="1" applyFont="1" applyAlignment="1"/>
    <xf numFmtId="44" fontId="15" fillId="0" borderId="0" xfId="1" applyFont="1" applyProtection="1">
      <protection locked="0"/>
    </xf>
    <xf numFmtId="44" fontId="15" fillId="0" borderId="0" xfId="1" applyFont="1" applyBorder="1" applyProtection="1">
      <protection locked="0"/>
    </xf>
    <xf numFmtId="44" fontId="15" fillId="0" borderId="0" xfId="1" applyFont="1" applyFill="1" applyProtection="1">
      <protection locked="0"/>
    </xf>
    <xf numFmtId="44" fontId="15" fillId="2" borderId="0" xfId="1" applyFont="1" applyFill="1" applyProtection="1">
      <protection locked="0"/>
    </xf>
    <xf numFmtId="44" fontId="8" fillId="0" borderId="0" xfId="1" applyFont="1" applyProtection="1">
      <protection locked="0"/>
    </xf>
    <xf numFmtId="44" fontId="8" fillId="0" borderId="0" xfId="1" applyFont="1" applyBorder="1" applyProtection="1">
      <protection locked="0"/>
    </xf>
    <xf numFmtId="44" fontId="3" fillId="0" borderId="0" xfId="1" applyFont="1" applyProtection="1">
      <protection locked="0"/>
    </xf>
    <xf numFmtId="8" fontId="15" fillId="0" borderId="0" xfId="1" applyNumberFormat="1" applyFont="1" applyAlignment="1"/>
    <xf numFmtId="0" fontId="8" fillId="0" borderId="0" xfId="0" applyFont="1" applyAlignment="1" applyProtection="1">
      <alignment horizontal="center" wrapText="1"/>
      <protection locked="0"/>
    </xf>
    <xf numFmtId="40" fontId="35" fillId="7" borderId="0" xfId="0" quotePrefix="1" applyNumberFormat="1" applyFont="1" applyFill="1" applyAlignment="1" applyProtection="1">
      <alignment horizontal="center"/>
      <protection locked="0"/>
    </xf>
    <xf numFmtId="0" fontId="19" fillId="0" borderId="0" xfId="0" applyFont="1" applyAlignment="1" applyProtection="1">
      <protection locked="0"/>
    </xf>
    <xf numFmtId="0" fontId="6" fillId="0" borderId="0" xfId="0" applyFont="1" applyBorder="1" applyAlignment="1">
      <alignment horizontal="center" wrapText="1"/>
    </xf>
    <xf numFmtId="2" fontId="6" fillId="0" borderId="0" xfId="0" applyNumberFormat="1" applyFont="1" applyBorder="1" applyAlignment="1">
      <alignment horizontal="right"/>
    </xf>
    <xf numFmtId="2" fontId="0" fillId="0" borderId="0" xfId="0" applyNumberFormat="1" applyBorder="1"/>
    <xf numFmtId="2" fontId="0" fillId="0" borderId="0" xfId="0" applyNumberFormat="1"/>
    <xf numFmtId="2" fontId="0" fillId="0" borderId="0" xfId="0" applyNumberFormat="1" applyFill="1" applyBorder="1"/>
    <xf numFmtId="2" fontId="6" fillId="0" borderId="0" xfId="0" applyNumberFormat="1" applyFont="1" applyFill="1" applyBorder="1" applyAlignment="1">
      <alignment horizontal="right"/>
    </xf>
    <xf numFmtId="0" fontId="0" fillId="0" borderId="0" xfId="0" applyAlignment="1">
      <alignment horizontal="right"/>
    </xf>
    <xf numFmtId="0" fontId="0" fillId="0" borderId="20" xfId="0" applyBorder="1"/>
    <xf numFmtId="0" fontId="6" fillId="0" borderId="0" xfId="0" applyFont="1" applyBorder="1"/>
    <xf numFmtId="8" fontId="15" fillId="0" borderId="0" xfId="1" applyNumberFormat="1" applyFont="1"/>
    <xf numFmtId="8" fontId="15" fillId="0" borderId="0" xfId="1" applyNumberFormat="1" applyFont="1" applyBorder="1"/>
    <xf numFmtId="0" fontId="19" fillId="0" borderId="0" xfId="0" applyFont="1" applyAlignment="1" applyProtection="1">
      <alignment horizontal="left" wrapText="1"/>
      <protection locked="0"/>
    </xf>
    <xf numFmtId="0" fontId="27" fillId="8" borderId="0" xfId="0" applyFont="1" applyFill="1" applyAlignment="1" applyProtection="1">
      <alignment horizontal="center"/>
      <protection locked="0"/>
    </xf>
    <xf numFmtId="0" fontId="8" fillId="2" borderId="0" xfId="0" applyFont="1" applyFill="1" applyAlignment="1" applyProtection="1">
      <alignment horizontal="center"/>
      <protection locked="0"/>
    </xf>
    <xf numFmtId="0" fontId="8" fillId="2" borderId="3" xfId="0" applyFont="1" applyFill="1" applyBorder="1" applyAlignment="1" applyProtection="1">
      <alignment horizontal="center"/>
      <protection locked="0"/>
    </xf>
    <xf numFmtId="0" fontId="28" fillId="0" borderId="0" xfId="0" quotePrefix="1" applyFont="1" applyBorder="1" applyAlignment="1" applyProtection="1">
      <alignment horizontal="center"/>
      <protection locked="0"/>
    </xf>
    <xf numFmtId="2" fontId="16" fillId="15" borderId="0" xfId="0" applyNumberFormat="1" applyFont="1" applyFill="1" applyBorder="1" applyAlignment="1" applyProtection="1">
      <alignment horizontal="center"/>
      <protection locked="0"/>
    </xf>
    <xf numFmtId="0" fontId="26" fillId="2" borderId="0" xfId="0" applyFont="1" applyFill="1" applyAlignment="1">
      <alignment horizontal="center"/>
    </xf>
    <xf numFmtId="0" fontId="23" fillId="13" borderId="0" xfId="0" applyFont="1" applyFill="1" applyAlignment="1">
      <alignment horizontal="center"/>
    </xf>
    <xf numFmtId="0" fontId="22" fillId="2" borderId="0" xfId="0" applyFont="1" applyFill="1" applyAlignment="1">
      <alignment horizontal="center"/>
    </xf>
    <xf numFmtId="0" fontId="23" fillId="9" borderId="0" xfId="0" applyFont="1" applyFill="1" applyAlignment="1">
      <alignment horizontal="center"/>
    </xf>
    <xf numFmtId="0" fontId="23" fillId="3" borderId="0" xfId="0" applyFont="1" applyFill="1" applyAlignment="1">
      <alignment horizontal="center"/>
    </xf>
    <xf numFmtId="0" fontId="23" fillId="11" borderId="0" xfId="0" applyFont="1" applyFill="1" applyAlignment="1">
      <alignment horizontal="center"/>
    </xf>
    <xf numFmtId="0" fontId="23" fillId="12"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s\Budgets%202018\Wheat-2018-T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0.41428571428571431</v>
          </cell>
          <cell r="F11">
            <v>0.38571428571428573</v>
          </cell>
          <cell r="G11">
            <v>0.4</v>
          </cell>
          <cell r="H11">
            <v>0.4</v>
          </cell>
        </row>
        <row r="12">
          <cell r="A12">
            <v>5</v>
          </cell>
          <cell r="B12" t="str">
            <v>TOBACCO</v>
          </cell>
          <cell r="C12" t="str">
            <v>THOU.</v>
          </cell>
          <cell r="D12" t="str">
            <v>THOU.</v>
          </cell>
          <cell r="E12">
            <v>40</v>
          </cell>
          <cell r="F12">
            <v>40</v>
          </cell>
          <cell r="G12">
            <v>40</v>
          </cell>
          <cell r="H12">
            <v>40</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2.3125</v>
          </cell>
          <cell r="G14">
            <v>2.65625</v>
          </cell>
          <cell r="H14">
            <v>2.6560000000000001</v>
          </cell>
        </row>
        <row r="15">
          <cell r="A15">
            <v>7</v>
          </cell>
          <cell r="B15" t="str">
            <v>COTTON</v>
          </cell>
          <cell r="C15" t="str">
            <v>THOU.</v>
          </cell>
          <cell r="D15" t="str">
            <v>THOU.</v>
          </cell>
          <cell r="E15">
            <v>2</v>
          </cell>
          <cell r="F15">
            <v>2.2222222222222223</v>
          </cell>
          <cell r="G15">
            <v>2.1111111111111112</v>
          </cell>
          <cell r="H15">
            <v>2.11</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0.85</v>
          </cell>
          <cell r="F19">
            <v>0.85</v>
          </cell>
          <cell r="G19">
            <v>0.85</v>
          </cell>
          <cell r="H19">
            <v>0.85</v>
          </cell>
        </row>
        <row r="20">
          <cell r="A20">
            <v>9</v>
          </cell>
          <cell r="B20" t="str">
            <v>PEANUTS RUNNER</v>
          </cell>
          <cell r="C20" t="str">
            <v>LBS</v>
          </cell>
          <cell r="D20" t="str">
            <v>LBS</v>
          </cell>
          <cell r="E20">
            <v>0.8</v>
          </cell>
          <cell r="F20">
            <v>0.8</v>
          </cell>
          <cell r="G20">
            <v>0.8</v>
          </cell>
          <cell r="H20">
            <v>0.8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5-10-10</v>
          </cell>
          <cell r="C47" t="str">
            <v>TON</v>
          </cell>
          <cell r="D47" t="str">
            <v>LBS</v>
          </cell>
          <cell r="E47">
            <v>410</v>
          </cell>
          <cell r="F47">
            <v>400</v>
          </cell>
          <cell r="G47">
            <v>405</v>
          </cell>
          <cell r="H47">
            <v>0.2</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LBS</v>
          </cell>
          <cell r="E49">
            <v>245</v>
          </cell>
          <cell r="F49">
            <v>475</v>
          </cell>
          <cell r="G49">
            <v>360</v>
          </cell>
          <cell r="H49">
            <v>0.18</v>
          </cell>
        </row>
        <row r="50">
          <cell r="A50">
            <v>32.1</v>
          </cell>
          <cell r="B50" t="str">
            <v>10-10-10 (VEGETABLES)</v>
          </cell>
          <cell r="C50" t="str">
            <v>TON</v>
          </cell>
          <cell r="D50" t="str">
            <v>LBS</v>
          </cell>
          <cell r="E50">
            <v>500</v>
          </cell>
          <cell r="F50">
            <v>475</v>
          </cell>
          <cell r="G50">
            <v>487.5</v>
          </cell>
          <cell r="H50">
            <v>0.24</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LBS</v>
          </cell>
          <cell r="E54">
            <v>300</v>
          </cell>
          <cell r="F54">
            <v>300</v>
          </cell>
          <cell r="G54">
            <v>300</v>
          </cell>
          <cell r="H54">
            <v>0.5</v>
          </cell>
        </row>
        <row r="55">
          <cell r="A55">
            <v>33.1</v>
          </cell>
          <cell r="B55" t="str">
            <v>15-0-14</v>
          </cell>
          <cell r="C55" t="str">
            <v>TON</v>
          </cell>
          <cell r="D55" t="str">
            <v>LBS</v>
          </cell>
          <cell r="E55">
            <v>500</v>
          </cell>
          <cell r="F55">
            <v>500</v>
          </cell>
          <cell r="G55">
            <v>500</v>
          </cell>
          <cell r="H55">
            <v>0.83</v>
          </cell>
        </row>
        <row r="56">
          <cell r="A56">
            <v>33.200000000000003</v>
          </cell>
          <cell r="B56" t="str">
            <v>4-12-12</v>
          </cell>
          <cell r="C56" t="str">
            <v>TON</v>
          </cell>
          <cell r="D56" t="str">
            <v>LBS</v>
          </cell>
          <cell r="E56">
            <v>400</v>
          </cell>
          <cell r="F56">
            <v>400</v>
          </cell>
          <cell r="G56">
            <v>400</v>
          </cell>
          <cell r="H56">
            <v>0.67</v>
          </cell>
        </row>
        <row r="57">
          <cell r="A57">
            <v>33.299999999999997</v>
          </cell>
          <cell r="B57" t="str">
            <v>3-9-18</v>
          </cell>
          <cell r="C57" t="str">
            <v>TON</v>
          </cell>
          <cell r="D57" t="str">
            <v>LBS</v>
          </cell>
          <cell r="E57">
            <v>400</v>
          </cell>
          <cell r="F57">
            <v>400</v>
          </cell>
          <cell r="G57">
            <v>400</v>
          </cell>
          <cell r="H57">
            <v>0.67</v>
          </cell>
        </row>
        <row r="58">
          <cell r="A58">
            <v>33.4</v>
          </cell>
          <cell r="B58" t="str">
            <v>10-8-20</v>
          </cell>
          <cell r="C58" t="str">
            <v>TON</v>
          </cell>
          <cell r="D58" t="str">
            <v>LBS</v>
          </cell>
          <cell r="E58">
            <v>550</v>
          </cell>
          <cell r="F58">
            <v>570</v>
          </cell>
          <cell r="G58">
            <v>560</v>
          </cell>
          <cell r="H58">
            <v>0.93</v>
          </cell>
        </row>
        <row r="59">
          <cell r="A59">
            <v>33.5</v>
          </cell>
          <cell r="B59" t="str">
            <v>7-0-7 (LIQ.) - SIDE DRESSING</v>
          </cell>
          <cell r="C59" t="str">
            <v>TON</v>
          </cell>
          <cell r="D59" t="str">
            <v>GAL</v>
          </cell>
          <cell r="E59">
            <v>500</v>
          </cell>
          <cell r="F59">
            <v>450</v>
          </cell>
          <cell r="G59">
            <v>475</v>
          </cell>
          <cell r="H59">
            <v>27.14</v>
          </cell>
        </row>
        <row r="60">
          <cell r="A60">
            <v>33.6</v>
          </cell>
          <cell r="B60" t="str">
            <v>14-0-14 - SIDE DRESSING</v>
          </cell>
          <cell r="C60" t="str">
            <v>TON</v>
          </cell>
          <cell r="D60" t="str">
            <v>LBS</v>
          </cell>
          <cell r="E60">
            <v>400</v>
          </cell>
          <cell r="F60">
            <v>400</v>
          </cell>
          <cell r="G60">
            <v>400</v>
          </cell>
          <cell r="H60">
            <v>0.2</v>
          </cell>
        </row>
        <row r="61">
          <cell r="A61">
            <v>33.700000000000003</v>
          </cell>
          <cell r="B61" t="str">
            <v>3-9-24</v>
          </cell>
          <cell r="C61" t="str">
            <v>TON</v>
          </cell>
          <cell r="D61" t="str">
            <v>LBS</v>
          </cell>
          <cell r="E61">
            <v>525</v>
          </cell>
          <cell r="F61">
            <v>475</v>
          </cell>
          <cell r="G61">
            <v>500</v>
          </cell>
          <cell r="H61">
            <v>0.25</v>
          </cell>
        </row>
        <row r="62">
          <cell r="A62">
            <v>34</v>
          </cell>
          <cell r="B62" t="str">
            <v>30% NITROGEN SOLUTION</v>
          </cell>
          <cell r="C62" t="str">
            <v>TON</v>
          </cell>
          <cell r="D62" t="str">
            <v>LBS</v>
          </cell>
          <cell r="E62">
            <v>225</v>
          </cell>
          <cell r="F62">
            <v>273</v>
          </cell>
          <cell r="G62">
            <v>249</v>
          </cell>
          <cell r="H62">
            <v>0.12</v>
          </cell>
        </row>
        <row r="63">
          <cell r="A63">
            <v>34.1</v>
          </cell>
          <cell r="B63" t="str">
            <v>30% NITROGEN SOLUTION SPREAD</v>
          </cell>
          <cell r="C63" t="str">
            <v>TON</v>
          </cell>
          <cell r="D63" t="str">
            <v>LBS</v>
          </cell>
          <cell r="E63">
            <v>450</v>
          </cell>
          <cell r="F63">
            <v>450</v>
          </cell>
          <cell r="G63">
            <v>450</v>
          </cell>
          <cell r="H63">
            <v>0.23</v>
          </cell>
        </row>
        <row r="64">
          <cell r="A64">
            <v>34.200000000000003</v>
          </cell>
          <cell r="B64" t="str">
            <v>100% CALCIUM NITRATE</v>
          </cell>
          <cell r="C64" t="str">
            <v>TON</v>
          </cell>
          <cell r="D64" t="str">
            <v>LBS</v>
          </cell>
          <cell r="E64">
            <v>417</v>
          </cell>
          <cell r="F64">
            <v>530</v>
          </cell>
          <cell r="G64">
            <v>473.5</v>
          </cell>
          <cell r="H64">
            <v>0.24</v>
          </cell>
        </row>
        <row r="65">
          <cell r="A65">
            <v>34.299999999999997</v>
          </cell>
          <cell r="B65" t="str">
            <v>CALCIUM NITRATE 15.5-0-0</v>
          </cell>
          <cell r="C65" t="str">
            <v>TON</v>
          </cell>
          <cell r="D65" t="str">
            <v>CWT</v>
          </cell>
          <cell r="E65">
            <v>417</v>
          </cell>
          <cell r="F65">
            <v>530</v>
          </cell>
          <cell r="G65">
            <v>473.5</v>
          </cell>
          <cell r="H65">
            <v>23.68</v>
          </cell>
        </row>
        <row r="66">
          <cell r="A66">
            <v>34.5</v>
          </cell>
          <cell r="B66" t="str">
            <v>UREA 46-0-0</v>
          </cell>
          <cell r="C66" t="str">
            <v>TON</v>
          </cell>
          <cell r="D66" t="str">
            <v>LBS</v>
          </cell>
          <cell r="E66">
            <v>366</v>
          </cell>
          <cell r="F66">
            <v>389</v>
          </cell>
          <cell r="G66">
            <v>377.5</v>
          </cell>
          <cell r="H66">
            <v>0.19</v>
          </cell>
        </row>
        <row r="67">
          <cell r="A67">
            <v>35</v>
          </cell>
          <cell r="B67" t="str">
            <v>33.5% AMMONIUM NITRATE</v>
          </cell>
          <cell r="C67" t="str">
            <v>TON</v>
          </cell>
          <cell r="D67" t="str">
            <v>LBS</v>
          </cell>
          <cell r="E67">
            <v>580</v>
          </cell>
          <cell r="F67">
            <v>590</v>
          </cell>
          <cell r="G67">
            <v>585</v>
          </cell>
          <cell r="H67">
            <v>0.87</v>
          </cell>
        </row>
        <row r="68">
          <cell r="A68">
            <v>35.1</v>
          </cell>
          <cell r="B68" t="str">
            <v>33.5% NITROGEN - SIDE DRESSING</v>
          </cell>
          <cell r="C68" t="str">
            <v>TON</v>
          </cell>
          <cell r="D68" t="str">
            <v>LBS</v>
          </cell>
          <cell r="E68">
            <v>625</v>
          </cell>
          <cell r="F68">
            <v>625</v>
          </cell>
          <cell r="G68">
            <v>625</v>
          </cell>
          <cell r="H68">
            <v>0.93</v>
          </cell>
        </row>
        <row r="69">
          <cell r="A69">
            <v>35.200000000000003</v>
          </cell>
          <cell r="B69" t="str">
            <v>30% N (LIQ) - SIDE DRESSING</v>
          </cell>
          <cell r="C69" t="str">
            <v>TON</v>
          </cell>
          <cell r="D69" t="str">
            <v>LBS</v>
          </cell>
          <cell r="E69">
            <v>385</v>
          </cell>
          <cell r="F69">
            <v>385</v>
          </cell>
          <cell r="G69">
            <v>385</v>
          </cell>
          <cell r="H69">
            <v>0.64</v>
          </cell>
        </row>
        <row r="70">
          <cell r="A70">
            <v>35.299999999999997</v>
          </cell>
          <cell r="B70" t="str">
            <v>AMMONIA SULFATE (24 S)</v>
          </cell>
          <cell r="C70" t="str">
            <v>TON</v>
          </cell>
          <cell r="D70" t="str">
            <v>LBS</v>
          </cell>
          <cell r="E70">
            <v>260</v>
          </cell>
          <cell r="F70">
            <v>393</v>
          </cell>
          <cell r="G70">
            <v>326.5</v>
          </cell>
          <cell r="H70">
            <v>0.68</v>
          </cell>
        </row>
        <row r="71">
          <cell r="A71">
            <v>35.4</v>
          </cell>
          <cell r="B71" t="str">
            <v>30% N (LIQ) - SIDE DRESSING (VEG.)</v>
          </cell>
          <cell r="C71" t="str">
            <v>TON</v>
          </cell>
          <cell r="D71" t="str">
            <v>LBS</v>
          </cell>
          <cell r="E71">
            <v>385</v>
          </cell>
          <cell r="F71">
            <v>385</v>
          </cell>
          <cell r="G71">
            <v>385</v>
          </cell>
          <cell r="H71">
            <v>0.64</v>
          </cell>
        </row>
        <row r="72">
          <cell r="A72">
            <v>35.5</v>
          </cell>
          <cell r="B72" t="str">
            <v>33.5% N - SIDE DRESSING (VEG.)</v>
          </cell>
          <cell r="C72" t="str">
            <v>TON</v>
          </cell>
          <cell r="D72" t="str">
            <v>LBS</v>
          </cell>
          <cell r="E72">
            <v>625</v>
          </cell>
          <cell r="F72">
            <v>625</v>
          </cell>
          <cell r="G72">
            <v>625</v>
          </cell>
          <cell r="H72">
            <v>0.31</v>
          </cell>
        </row>
        <row r="73">
          <cell r="A73">
            <v>35.6</v>
          </cell>
          <cell r="B73" t="str">
            <v>34.5% AMMONIUM NITRATE</v>
          </cell>
          <cell r="C73" t="str">
            <v>TON</v>
          </cell>
          <cell r="D73" t="str">
            <v>LBS</v>
          </cell>
          <cell r="E73">
            <v>580</v>
          </cell>
          <cell r="F73">
            <v>590</v>
          </cell>
          <cell r="G73">
            <v>585</v>
          </cell>
          <cell r="H73">
            <v>0.28999999999999998</v>
          </cell>
        </row>
        <row r="74">
          <cell r="A74">
            <v>36</v>
          </cell>
          <cell r="B74" t="str">
            <v>60% MURATE OF POTASH</v>
          </cell>
          <cell r="C74" t="str">
            <v>TON</v>
          </cell>
          <cell r="D74" t="str">
            <v>LBS</v>
          </cell>
          <cell r="E74">
            <v>320</v>
          </cell>
          <cell r="F74">
            <v>485</v>
          </cell>
          <cell r="G74">
            <v>402.5</v>
          </cell>
          <cell r="H74">
            <v>0.2</v>
          </cell>
        </row>
        <row r="75">
          <cell r="A75">
            <v>36.1</v>
          </cell>
          <cell r="B75" t="str">
            <v>0-0-50 POTASSIUM SULFATE</v>
          </cell>
          <cell r="C75" t="str">
            <v>TON</v>
          </cell>
          <cell r="D75" t="str">
            <v>CWT</v>
          </cell>
          <cell r="E75">
            <v>675</v>
          </cell>
          <cell r="F75">
            <v>755</v>
          </cell>
          <cell r="G75">
            <v>715</v>
          </cell>
          <cell r="H75">
            <v>35.75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18-46-0 DAP</v>
          </cell>
          <cell r="C78" t="str">
            <v>TON</v>
          </cell>
          <cell r="D78" t="str">
            <v>LBS</v>
          </cell>
          <cell r="E78">
            <v>400</v>
          </cell>
          <cell r="F78">
            <v>572</v>
          </cell>
          <cell r="G78">
            <v>486</v>
          </cell>
          <cell r="H78">
            <v>0.24</v>
          </cell>
        </row>
        <row r="79">
          <cell r="A79">
            <v>39</v>
          </cell>
          <cell r="B79" t="str">
            <v>LIME BULK</v>
          </cell>
          <cell r="C79" t="str">
            <v>TON</v>
          </cell>
          <cell r="D79" t="str">
            <v>TON</v>
          </cell>
          <cell r="E79">
            <v>150</v>
          </cell>
          <cell r="F79">
            <v>222</v>
          </cell>
          <cell r="G79">
            <v>186</v>
          </cell>
          <cell r="H79">
            <v>186</v>
          </cell>
        </row>
        <row r="80">
          <cell r="A80">
            <v>40</v>
          </cell>
          <cell r="B80" t="str">
            <v>LIME SPREAD</v>
          </cell>
          <cell r="C80" t="str">
            <v>TON</v>
          </cell>
          <cell r="D80" t="str">
            <v>TON</v>
          </cell>
          <cell r="E80">
            <v>36</v>
          </cell>
          <cell r="F80">
            <v>56</v>
          </cell>
          <cell r="G80">
            <v>46</v>
          </cell>
          <cell r="H80">
            <v>46</v>
          </cell>
        </row>
        <row r="81">
          <cell r="A81">
            <v>40.1</v>
          </cell>
          <cell r="B81" t="str">
            <v>CALCIUM SULFATE SPREAD (GYPSUM)</v>
          </cell>
          <cell r="C81" t="str">
            <v>TON</v>
          </cell>
          <cell r="D81" t="str">
            <v>TON</v>
          </cell>
          <cell r="E81">
            <v>37</v>
          </cell>
          <cell r="F81">
            <v>58.5</v>
          </cell>
          <cell r="G81">
            <v>47.75</v>
          </cell>
          <cell r="H81">
            <v>47.75</v>
          </cell>
        </row>
        <row r="82">
          <cell r="A82">
            <v>41</v>
          </cell>
          <cell r="B82" t="str">
            <v>COST TO SPREAD 1 TN ON AN ACRE</v>
          </cell>
          <cell r="C82" t="str">
            <v>ACRE</v>
          </cell>
          <cell r="D82" t="str">
            <v>ACRE</v>
          </cell>
          <cell r="E82">
            <v>10</v>
          </cell>
          <cell r="F82">
            <v>10</v>
          </cell>
          <cell r="G82">
            <v>10</v>
          </cell>
          <cell r="H82">
            <v>10</v>
          </cell>
        </row>
        <row r="83">
          <cell r="A83">
            <v>42</v>
          </cell>
          <cell r="B83" t="str">
            <v>6-6-18 (TOBACCO)</v>
          </cell>
          <cell r="C83" t="str">
            <v>TON</v>
          </cell>
          <cell r="D83" t="str">
            <v>CWT</v>
          </cell>
          <cell r="E83">
            <v>385</v>
          </cell>
          <cell r="F83">
            <v>500</v>
          </cell>
          <cell r="G83">
            <v>442.5</v>
          </cell>
          <cell r="H83">
            <v>22.13</v>
          </cell>
        </row>
        <row r="84">
          <cell r="A84">
            <v>43</v>
          </cell>
          <cell r="B84" t="str">
            <v>15-0-14 (TOBACCO)</v>
          </cell>
          <cell r="C84" t="str">
            <v>TON</v>
          </cell>
          <cell r="D84" t="str">
            <v>CWT</v>
          </cell>
          <cell r="E84">
            <v>388</v>
          </cell>
          <cell r="F84">
            <v>487</v>
          </cell>
          <cell r="G84">
            <v>437.5</v>
          </cell>
          <cell r="H84">
            <v>21.88</v>
          </cell>
        </row>
        <row r="85">
          <cell r="A85">
            <v>44</v>
          </cell>
          <cell r="B85" t="str">
            <v>SOLUBOR</v>
          </cell>
          <cell r="C85" t="str">
            <v>LBS</v>
          </cell>
          <cell r="D85" t="str">
            <v>LBS</v>
          </cell>
          <cell r="E85">
            <v>1.2</v>
          </cell>
          <cell r="F85">
            <v>1.5</v>
          </cell>
          <cell r="G85">
            <v>1.35</v>
          </cell>
          <cell r="H85">
            <v>1.35</v>
          </cell>
        </row>
        <row r="86">
          <cell r="A86">
            <v>44.1</v>
          </cell>
          <cell r="B86" t="str">
            <v>INOCULANT</v>
          </cell>
          <cell r="C86" t="str">
            <v>OZ</v>
          </cell>
          <cell r="D86" t="str">
            <v>OZ</v>
          </cell>
          <cell r="E86">
            <v>0.85</v>
          </cell>
          <cell r="F86">
            <v>1.1000000000000001</v>
          </cell>
          <cell r="G86">
            <v>0.97500000000000009</v>
          </cell>
          <cell r="H86">
            <v>0.98</v>
          </cell>
        </row>
        <row r="87">
          <cell r="A87">
            <v>44.2</v>
          </cell>
          <cell r="B87" t="str">
            <v>MANGANESE SULFATE</v>
          </cell>
          <cell r="C87" t="str">
            <v>TON</v>
          </cell>
          <cell r="D87" t="str">
            <v>LBS</v>
          </cell>
          <cell r="E87">
            <v>800</v>
          </cell>
          <cell r="F87">
            <v>600</v>
          </cell>
          <cell r="G87">
            <v>700</v>
          </cell>
          <cell r="H87">
            <v>0.35</v>
          </cell>
        </row>
        <row r="89">
          <cell r="A89" t="str">
            <v>FORAGE SEED</v>
          </cell>
        </row>
        <row r="90">
          <cell r="A90">
            <v>45</v>
          </cell>
          <cell r="B90" t="str">
            <v>TALL FESCUE</v>
          </cell>
          <cell r="C90" t="str">
            <v>LBS</v>
          </cell>
          <cell r="D90" t="str">
            <v>LBS</v>
          </cell>
          <cell r="E90">
            <v>1.3</v>
          </cell>
          <cell r="F90">
            <v>1</v>
          </cell>
          <cell r="G90">
            <v>1.1499999999999999</v>
          </cell>
          <cell r="H90">
            <v>1.1499999999999999</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ls.ncsu.edu/are-extension/business-planning-and-operations/enterprise-budget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3"/>
  <sheetViews>
    <sheetView tabSelected="1" zoomScale="70" zoomScaleNormal="70" workbookViewId="0">
      <pane ySplit="3" topLeftCell="A42" activePane="bottomLeft" state="frozen"/>
      <selection pane="bottomLeft" activeCell="A68" sqref="A68"/>
    </sheetView>
  </sheetViews>
  <sheetFormatPr defaultColWidth="9.140625" defaultRowHeight="14.25" x14ac:dyDescent="0.2"/>
  <cols>
    <col min="1" max="1" width="36" style="22" customWidth="1"/>
    <col min="2" max="9" width="13.28515625" style="22" customWidth="1"/>
    <col min="10" max="16384" width="9.140625" style="22"/>
  </cols>
  <sheetData>
    <row r="1" spans="1:21" ht="27.4" customHeight="1" thickBot="1" x14ac:dyDescent="0.35">
      <c r="A1" s="183" t="s">
        <v>197</v>
      </c>
      <c r="B1" s="183"/>
      <c r="C1" s="183"/>
      <c r="D1" s="183"/>
      <c r="E1" s="183"/>
      <c r="F1" s="183"/>
      <c r="G1" s="183"/>
      <c r="H1" s="183"/>
      <c r="I1" s="183"/>
    </row>
    <row r="2" spans="1:21" ht="15.75" thickBot="1" x14ac:dyDescent="0.25">
      <c r="A2" s="63" t="s">
        <v>57</v>
      </c>
      <c r="B2" s="122">
        <v>150</v>
      </c>
      <c r="C2" s="62"/>
      <c r="D2" s="62"/>
      <c r="G2" s="63"/>
      <c r="H2" s="131"/>
    </row>
    <row r="3" spans="1:21" ht="33" customHeight="1" x14ac:dyDescent="0.25">
      <c r="A3" s="62"/>
      <c r="B3" s="64" t="s">
        <v>0</v>
      </c>
      <c r="C3" s="64" t="s">
        <v>20</v>
      </c>
      <c r="D3" s="64" t="s">
        <v>2</v>
      </c>
      <c r="E3" s="64" t="s">
        <v>21</v>
      </c>
      <c r="F3" s="64" t="s">
        <v>13</v>
      </c>
      <c r="G3" s="64" t="s">
        <v>167</v>
      </c>
      <c r="H3" s="64" t="s">
        <v>168</v>
      </c>
      <c r="I3" s="168" t="s">
        <v>224</v>
      </c>
    </row>
    <row r="4" spans="1:21" ht="21" customHeight="1" x14ac:dyDescent="0.25">
      <c r="A4" s="21" t="s">
        <v>67</v>
      </c>
      <c r="B4" s="142">
        <v>140</v>
      </c>
      <c r="C4" s="143">
        <v>60</v>
      </c>
      <c r="D4" s="144">
        <v>70</v>
      </c>
      <c r="E4" s="144">
        <v>65</v>
      </c>
      <c r="F4" s="65" t="s">
        <v>9</v>
      </c>
      <c r="G4" s="65" t="s">
        <v>9</v>
      </c>
      <c r="H4" s="65" t="s">
        <v>9</v>
      </c>
      <c r="I4" s="169">
        <v>500</v>
      </c>
    </row>
    <row r="5" spans="1:21" ht="39.950000000000003" customHeight="1" x14ac:dyDescent="0.25">
      <c r="A5" s="115" t="s">
        <v>174</v>
      </c>
      <c r="B5" s="65" t="s">
        <v>9</v>
      </c>
      <c r="C5" s="65" t="s">
        <v>9</v>
      </c>
      <c r="D5" s="65" t="s">
        <v>9</v>
      </c>
      <c r="E5" s="65" t="s">
        <v>9</v>
      </c>
      <c r="F5" s="145">
        <v>1200</v>
      </c>
      <c r="G5" s="146">
        <v>5000</v>
      </c>
      <c r="H5" s="146">
        <v>2000</v>
      </c>
      <c r="I5" s="65" t="s">
        <v>9</v>
      </c>
    </row>
    <row r="6" spans="1:21" ht="22.35" customHeight="1" x14ac:dyDescent="0.25">
      <c r="A6" s="21" t="s">
        <v>64</v>
      </c>
      <c r="B6" s="65" t="s">
        <v>9</v>
      </c>
      <c r="C6" s="65" t="s">
        <v>9</v>
      </c>
      <c r="D6" s="65" t="s">
        <v>9</v>
      </c>
      <c r="E6" s="65" t="s">
        <v>9</v>
      </c>
      <c r="F6" s="66">
        <f>F5*1.67</f>
        <v>2004</v>
      </c>
      <c r="G6" s="65" t="s">
        <v>9</v>
      </c>
      <c r="H6" s="65" t="s">
        <v>9</v>
      </c>
      <c r="I6" s="65" t="s">
        <v>9</v>
      </c>
    </row>
    <row r="7" spans="1:21" ht="49.35" customHeight="1" x14ac:dyDescent="0.25">
      <c r="A7" s="115" t="s">
        <v>225</v>
      </c>
      <c r="B7" s="67">
        <v>3.5</v>
      </c>
      <c r="C7" s="67">
        <v>9</v>
      </c>
      <c r="D7" s="67">
        <v>5.2</v>
      </c>
      <c r="E7" s="67">
        <f>0.95*B7</f>
        <v>3.3249999999999997</v>
      </c>
      <c r="F7" s="67">
        <v>0.67</v>
      </c>
      <c r="G7" s="67">
        <v>0.23</v>
      </c>
      <c r="H7" s="67">
        <v>1.85</v>
      </c>
      <c r="I7" s="67">
        <v>8.1999999999999993</v>
      </c>
    </row>
    <row r="8" spans="1:21" ht="25.35" customHeight="1" x14ac:dyDescent="0.25">
      <c r="A8" s="21" t="s">
        <v>8</v>
      </c>
      <c r="B8" s="72" t="s">
        <v>9</v>
      </c>
      <c r="C8" s="65" t="s">
        <v>9</v>
      </c>
      <c r="D8" s="65" t="s">
        <v>9</v>
      </c>
      <c r="E8" s="65" t="s">
        <v>9</v>
      </c>
      <c r="F8" s="147">
        <v>0.08</v>
      </c>
      <c r="G8" s="65" t="s">
        <v>9</v>
      </c>
      <c r="H8" s="65" t="s">
        <v>9</v>
      </c>
      <c r="I8" s="65" t="s">
        <v>9</v>
      </c>
    </row>
    <row r="9" spans="1:21" ht="24.4" customHeight="1" thickBot="1" x14ac:dyDescent="0.3">
      <c r="A9" s="21" t="s">
        <v>7</v>
      </c>
      <c r="B9" s="67">
        <v>0.7</v>
      </c>
      <c r="C9" s="67">
        <v>-0.1</v>
      </c>
      <c r="D9" s="67">
        <f>-0.22</f>
        <v>-0.22</v>
      </c>
      <c r="E9" s="67">
        <v>0.27</v>
      </c>
      <c r="F9" s="67">
        <v>-0.02</v>
      </c>
      <c r="G9" s="67">
        <v>0</v>
      </c>
      <c r="H9" s="67">
        <v>0</v>
      </c>
      <c r="I9" s="67">
        <v>0</v>
      </c>
    </row>
    <row r="10" spans="1:21" ht="20.25" thickTop="1" thickBot="1" x14ac:dyDescent="0.3">
      <c r="A10" s="68" t="s">
        <v>68</v>
      </c>
      <c r="B10" s="69">
        <f t="shared" ref="B10:H10" si="0">B7+B9</f>
        <v>4.2</v>
      </c>
      <c r="C10" s="69">
        <f t="shared" si="0"/>
        <v>8.9</v>
      </c>
      <c r="D10" s="69">
        <f t="shared" si="0"/>
        <v>4.9800000000000004</v>
      </c>
      <c r="E10" s="69">
        <f t="shared" si="0"/>
        <v>3.5949999999999998</v>
      </c>
      <c r="F10" s="69">
        <f t="shared" si="0"/>
        <v>0.65</v>
      </c>
      <c r="G10" s="69">
        <f t="shared" si="0"/>
        <v>0.23</v>
      </c>
      <c r="H10" s="69">
        <f t="shared" si="0"/>
        <v>1.85</v>
      </c>
      <c r="I10" s="69">
        <f t="shared" ref="I10" si="1">I7+I9</f>
        <v>8.1999999999999993</v>
      </c>
    </row>
    <row r="11" spans="1:21" ht="16.5" thickTop="1" x14ac:dyDescent="0.25">
      <c r="A11" s="70" t="s">
        <v>3</v>
      </c>
      <c r="B11" s="71">
        <f>B4*(B7+B9)</f>
        <v>588</v>
      </c>
      <c r="C11" s="71">
        <f>C4*(C7+C9)</f>
        <v>534</v>
      </c>
      <c r="D11" s="71">
        <f>D4*(D7+D9)</f>
        <v>348.6</v>
      </c>
      <c r="E11" s="71">
        <f>E4*(E7+E9)</f>
        <v>233.67499999999998</v>
      </c>
      <c r="F11" s="71">
        <f>F10*F5+(F6*F8)</f>
        <v>940.31999999999994</v>
      </c>
      <c r="G11" s="71">
        <f>G5*(G7+G9)</f>
        <v>1150</v>
      </c>
      <c r="H11" s="71">
        <f>H5*(H7+H9)</f>
        <v>3700</v>
      </c>
      <c r="I11" s="71">
        <f>I4*(I7+I9)</f>
        <v>4100</v>
      </c>
    </row>
    <row r="12" spans="1:21" ht="18.75" x14ac:dyDescent="0.25">
      <c r="A12" s="184" t="s">
        <v>66</v>
      </c>
      <c r="B12" s="184"/>
      <c r="C12" s="184"/>
      <c r="D12" s="184"/>
      <c r="E12" s="184"/>
      <c r="F12" s="184"/>
      <c r="G12" s="184"/>
      <c r="H12" s="184"/>
      <c r="I12" s="184"/>
    </row>
    <row r="13" spans="1:21" ht="15" x14ac:dyDescent="0.2">
      <c r="A13" s="13" t="s">
        <v>173</v>
      </c>
      <c r="B13" s="160">
        <v>79.680000000000007</v>
      </c>
      <c r="C13" s="161">
        <v>44</v>
      </c>
      <c r="D13" s="160">
        <v>45</v>
      </c>
      <c r="E13" s="160">
        <v>15</v>
      </c>
      <c r="F13" s="162">
        <v>88.61999999999999</v>
      </c>
      <c r="G13" s="161">
        <v>106.25</v>
      </c>
      <c r="H13" s="161">
        <v>240</v>
      </c>
      <c r="I13" s="161">
        <v>500</v>
      </c>
      <c r="M13" s="13"/>
      <c r="Q13" s="13"/>
      <c r="U13" s="13"/>
    </row>
    <row r="14" spans="1:21" ht="15" x14ac:dyDescent="0.2">
      <c r="A14" s="13" t="s">
        <v>183</v>
      </c>
      <c r="B14" s="160">
        <v>0</v>
      </c>
      <c r="C14" s="161">
        <v>0</v>
      </c>
      <c r="D14" s="160">
        <v>0</v>
      </c>
      <c r="E14" s="160">
        <v>0</v>
      </c>
      <c r="F14" s="162">
        <v>0</v>
      </c>
      <c r="G14" s="161">
        <v>0</v>
      </c>
      <c r="H14" s="161">
        <v>179.87</v>
      </c>
      <c r="I14" s="161">
        <v>147.06</v>
      </c>
      <c r="M14" s="13"/>
      <c r="Q14" s="13"/>
      <c r="U14" s="13"/>
    </row>
    <row r="15" spans="1:21" ht="15" x14ac:dyDescent="0.2">
      <c r="A15" s="13" t="s">
        <v>178</v>
      </c>
      <c r="B15" s="160">
        <v>0</v>
      </c>
      <c r="C15" s="161">
        <v>0</v>
      </c>
      <c r="D15" s="160">
        <v>0</v>
      </c>
      <c r="E15" s="160">
        <v>0</v>
      </c>
      <c r="F15" s="162">
        <v>0</v>
      </c>
      <c r="G15" s="161">
        <v>6</v>
      </c>
      <c r="H15" s="161">
        <v>0</v>
      </c>
      <c r="I15" s="161">
        <v>0</v>
      </c>
      <c r="M15" s="13"/>
      <c r="Q15" s="13"/>
      <c r="U15" s="13"/>
    </row>
    <row r="16" spans="1:21" ht="15" x14ac:dyDescent="0.2">
      <c r="A16" s="13" t="s">
        <v>33</v>
      </c>
      <c r="B16" s="160"/>
      <c r="C16" s="161"/>
      <c r="D16" s="160"/>
      <c r="E16" s="160"/>
      <c r="F16" s="162"/>
      <c r="G16" s="161"/>
      <c r="H16" s="161"/>
      <c r="I16" s="161"/>
      <c r="M16" s="13"/>
      <c r="Q16" s="13"/>
      <c r="U16" s="13"/>
    </row>
    <row r="17" spans="1:21" ht="15" x14ac:dyDescent="0.2">
      <c r="A17" s="13" t="s">
        <v>32</v>
      </c>
      <c r="B17" s="160">
        <v>43.4</v>
      </c>
      <c r="C17" s="161">
        <v>0</v>
      </c>
      <c r="D17" s="160">
        <v>32.67</v>
      </c>
      <c r="E17" s="160">
        <v>23.24</v>
      </c>
      <c r="F17" s="162">
        <v>21</v>
      </c>
      <c r="G17" s="161">
        <v>0</v>
      </c>
      <c r="H17" s="161">
        <v>32.5</v>
      </c>
      <c r="I17" s="161">
        <v>0</v>
      </c>
      <c r="M17" s="13"/>
      <c r="Q17" s="13"/>
      <c r="U17" s="13"/>
    </row>
    <row r="18" spans="1:21" ht="15" x14ac:dyDescent="0.2">
      <c r="A18" s="13" t="s">
        <v>226</v>
      </c>
      <c r="B18" s="160">
        <v>0</v>
      </c>
      <c r="C18" s="161">
        <v>0</v>
      </c>
      <c r="D18" s="160">
        <v>0</v>
      </c>
      <c r="E18" s="160">
        <v>0</v>
      </c>
      <c r="F18" s="162">
        <v>0</v>
      </c>
      <c r="G18" s="161">
        <v>0</v>
      </c>
      <c r="H18" s="161">
        <v>0</v>
      </c>
      <c r="I18" s="161">
        <v>54.4</v>
      </c>
      <c r="M18" s="13"/>
      <c r="Q18" s="13"/>
      <c r="U18" s="13"/>
    </row>
    <row r="19" spans="1:21" ht="15" x14ac:dyDescent="0.2">
      <c r="A19" s="13" t="s">
        <v>72</v>
      </c>
      <c r="B19" s="160">
        <v>36.450000000000003</v>
      </c>
      <c r="C19" s="161">
        <v>0</v>
      </c>
      <c r="D19" s="160">
        <v>0</v>
      </c>
      <c r="E19" s="160">
        <v>0</v>
      </c>
      <c r="F19" s="162">
        <v>27</v>
      </c>
      <c r="G19" s="161">
        <v>0</v>
      </c>
      <c r="H19" s="161">
        <v>0</v>
      </c>
      <c r="I19" s="161">
        <v>0</v>
      </c>
      <c r="M19" s="13"/>
      <c r="Q19" s="13"/>
      <c r="U19" s="13"/>
    </row>
    <row r="20" spans="1:21" ht="15" x14ac:dyDescent="0.2">
      <c r="A20" s="13" t="s">
        <v>184</v>
      </c>
      <c r="B20" s="160">
        <v>0</v>
      </c>
      <c r="C20" s="161">
        <v>0</v>
      </c>
      <c r="D20" s="160">
        <v>0</v>
      </c>
      <c r="E20" s="160">
        <v>0</v>
      </c>
      <c r="F20" s="162">
        <v>0</v>
      </c>
      <c r="G20" s="161">
        <v>0</v>
      </c>
      <c r="H20" s="161">
        <v>83.67</v>
      </c>
      <c r="I20" s="161">
        <v>0</v>
      </c>
      <c r="M20" s="13"/>
      <c r="Q20" s="13"/>
      <c r="U20" s="13"/>
    </row>
    <row r="21" spans="1:21" ht="15" x14ac:dyDescent="0.2">
      <c r="A21" s="13" t="s">
        <v>185</v>
      </c>
      <c r="B21" s="160">
        <v>0</v>
      </c>
      <c r="C21" s="161">
        <v>0</v>
      </c>
      <c r="D21" s="160">
        <v>0</v>
      </c>
      <c r="E21" s="160">
        <v>0</v>
      </c>
      <c r="F21" s="162">
        <v>0</v>
      </c>
      <c r="G21" s="161">
        <v>0</v>
      </c>
      <c r="H21" s="161">
        <v>18.899999999999999</v>
      </c>
      <c r="I21" s="161">
        <v>0</v>
      </c>
      <c r="M21" s="13"/>
      <c r="Q21" s="13"/>
      <c r="U21" s="13"/>
    </row>
    <row r="22" spans="1:21" ht="15" x14ac:dyDescent="0.2">
      <c r="A22" s="13" t="s">
        <v>31</v>
      </c>
      <c r="B22" s="160">
        <v>0</v>
      </c>
      <c r="C22" s="161">
        <v>18.09</v>
      </c>
      <c r="D22" s="160">
        <v>15.83</v>
      </c>
      <c r="E22" s="160">
        <v>18.309999999999999</v>
      </c>
      <c r="F22" s="162">
        <v>0</v>
      </c>
      <c r="G22" s="161">
        <v>12.48</v>
      </c>
      <c r="H22" s="161">
        <v>0</v>
      </c>
      <c r="I22" s="161">
        <v>18.399999999999999</v>
      </c>
      <c r="M22" s="13"/>
      <c r="Q22" s="13"/>
      <c r="U22" s="13"/>
    </row>
    <row r="23" spans="1:21" ht="15" x14ac:dyDescent="0.2">
      <c r="A23" s="13" t="s">
        <v>30</v>
      </c>
      <c r="B23" s="160">
        <v>13.8</v>
      </c>
      <c r="C23" s="161">
        <v>22.69</v>
      </c>
      <c r="D23" s="160">
        <v>8.0500000000000007</v>
      </c>
      <c r="E23" s="160">
        <v>6.9</v>
      </c>
      <c r="F23" s="162">
        <v>11.5</v>
      </c>
      <c r="G23" s="161">
        <v>23</v>
      </c>
      <c r="H23" s="161">
        <v>0</v>
      </c>
      <c r="I23" s="161">
        <v>32</v>
      </c>
      <c r="M23" s="13"/>
      <c r="Q23" s="13"/>
      <c r="U23" s="13"/>
    </row>
    <row r="24" spans="1:21" ht="15" x14ac:dyDescent="0.2">
      <c r="A24" s="13" t="s">
        <v>36</v>
      </c>
      <c r="B24" s="160">
        <v>0</v>
      </c>
      <c r="C24" s="161">
        <v>0</v>
      </c>
      <c r="D24" s="160">
        <v>0</v>
      </c>
      <c r="E24" s="160">
        <v>0</v>
      </c>
      <c r="F24" s="162">
        <v>4.0500000000000007</v>
      </c>
      <c r="G24" s="161">
        <v>3.38</v>
      </c>
      <c r="H24" s="161">
        <v>0</v>
      </c>
      <c r="I24" s="161">
        <v>0</v>
      </c>
      <c r="M24" s="13"/>
      <c r="Q24" s="13"/>
      <c r="U24" s="13"/>
    </row>
    <row r="25" spans="1:21" ht="15" x14ac:dyDescent="0.2">
      <c r="A25" s="13" t="s">
        <v>179</v>
      </c>
      <c r="B25" s="160">
        <v>0</v>
      </c>
      <c r="C25" s="161">
        <v>0</v>
      </c>
      <c r="D25" s="160">
        <v>0</v>
      </c>
      <c r="E25" s="160">
        <v>0</v>
      </c>
      <c r="F25" s="162">
        <v>0</v>
      </c>
      <c r="G25" s="161">
        <v>1.05</v>
      </c>
      <c r="H25" s="161">
        <v>0</v>
      </c>
      <c r="I25" s="161">
        <v>0</v>
      </c>
      <c r="M25" s="13"/>
      <c r="Q25" s="13"/>
      <c r="U25" s="13"/>
    </row>
    <row r="26" spans="1:21" ht="15" x14ac:dyDescent="0.2">
      <c r="A26" s="13" t="s">
        <v>37</v>
      </c>
      <c r="B26" s="160">
        <v>0</v>
      </c>
      <c r="C26" s="161">
        <v>0</v>
      </c>
      <c r="D26" s="160">
        <v>0</v>
      </c>
      <c r="E26" s="160">
        <v>0</v>
      </c>
      <c r="F26" s="162">
        <v>2.8000000000000003</v>
      </c>
      <c r="G26" s="161">
        <v>0</v>
      </c>
      <c r="H26" s="161">
        <v>0</v>
      </c>
      <c r="I26" s="161">
        <v>0</v>
      </c>
      <c r="M26" s="13"/>
      <c r="Q26" s="13"/>
      <c r="U26" s="13"/>
    </row>
    <row r="27" spans="1:21" ht="15" x14ac:dyDescent="0.2">
      <c r="A27" s="13" t="s">
        <v>175</v>
      </c>
      <c r="B27" s="160">
        <v>16.829999999999998</v>
      </c>
      <c r="C27" s="160">
        <v>16.829999999999998</v>
      </c>
      <c r="D27" s="160">
        <v>16.829999999999998</v>
      </c>
      <c r="E27" s="160">
        <v>16.829999999999998</v>
      </c>
      <c r="F27" s="162">
        <v>16.829999999999998</v>
      </c>
      <c r="G27" s="160">
        <v>16.829999999999998</v>
      </c>
      <c r="H27" s="160">
        <v>16.829999999999998</v>
      </c>
      <c r="I27" s="160">
        <v>16.829999999999998</v>
      </c>
      <c r="M27" s="13"/>
      <c r="Q27" s="13"/>
      <c r="U27" s="13"/>
    </row>
    <row r="28" spans="1:21" ht="15" x14ac:dyDescent="0.2">
      <c r="A28" s="13" t="s">
        <v>176</v>
      </c>
      <c r="B28" s="160">
        <v>0</v>
      </c>
      <c r="C28" s="160">
        <v>0</v>
      </c>
      <c r="D28" s="160">
        <v>0</v>
      </c>
      <c r="E28" s="160">
        <v>0</v>
      </c>
      <c r="F28" s="160">
        <v>0</v>
      </c>
      <c r="G28" s="160">
        <v>28.5</v>
      </c>
      <c r="H28" s="160">
        <v>0</v>
      </c>
      <c r="I28" s="160">
        <v>0</v>
      </c>
      <c r="M28" s="13"/>
      <c r="Q28" s="13"/>
      <c r="U28" s="13"/>
    </row>
    <row r="29" spans="1:21" ht="15" x14ac:dyDescent="0.2">
      <c r="A29" s="13" t="s">
        <v>29</v>
      </c>
      <c r="B29" s="160">
        <v>32.72</v>
      </c>
      <c r="C29" s="161">
        <v>31.590000000000003</v>
      </c>
      <c r="D29" s="160">
        <v>11.41</v>
      </c>
      <c r="E29" s="160">
        <v>19.43</v>
      </c>
      <c r="F29" s="162">
        <v>91.55</v>
      </c>
      <c r="G29" s="161">
        <v>51.04</v>
      </c>
      <c r="H29" s="161">
        <v>54.41</v>
      </c>
      <c r="I29" s="161">
        <v>51</v>
      </c>
      <c r="M29" s="13"/>
      <c r="Q29" s="13"/>
      <c r="U29" s="13"/>
    </row>
    <row r="30" spans="1:21" ht="15" x14ac:dyDescent="0.2">
      <c r="A30" s="13" t="s">
        <v>34</v>
      </c>
      <c r="B30" s="160">
        <v>0</v>
      </c>
      <c r="C30" s="161">
        <v>0</v>
      </c>
      <c r="D30" s="160">
        <v>7.06</v>
      </c>
      <c r="E30" s="160">
        <v>0</v>
      </c>
      <c r="F30" s="162">
        <v>0</v>
      </c>
      <c r="G30" s="161">
        <v>77.209999999999994</v>
      </c>
      <c r="H30" s="161">
        <v>104.77</v>
      </c>
      <c r="I30" s="161">
        <v>0</v>
      </c>
      <c r="M30" s="13"/>
      <c r="Q30" s="13"/>
      <c r="U30" s="13"/>
    </row>
    <row r="31" spans="1:21" ht="15" x14ac:dyDescent="0.2">
      <c r="A31" s="13" t="s">
        <v>227</v>
      </c>
      <c r="B31" s="160">
        <v>0</v>
      </c>
      <c r="C31" s="161">
        <v>0</v>
      </c>
      <c r="D31" s="160">
        <v>0</v>
      </c>
      <c r="E31" s="160">
        <v>0</v>
      </c>
      <c r="F31" s="162">
        <v>0</v>
      </c>
      <c r="G31" s="161">
        <v>0</v>
      </c>
      <c r="H31" s="161">
        <v>0</v>
      </c>
      <c r="I31" s="161">
        <v>54.14</v>
      </c>
      <c r="M31" s="13"/>
      <c r="Q31" s="13"/>
      <c r="U31" s="13"/>
    </row>
    <row r="32" spans="1:21" ht="15" x14ac:dyDescent="0.2">
      <c r="A32" s="13" t="s">
        <v>28</v>
      </c>
      <c r="B32" s="160">
        <v>0</v>
      </c>
      <c r="C32" s="161">
        <v>0</v>
      </c>
      <c r="D32" s="160">
        <v>3.73</v>
      </c>
      <c r="E32" s="160">
        <v>5.17</v>
      </c>
      <c r="F32" s="162">
        <v>36.54</v>
      </c>
      <c r="G32" s="161">
        <v>16.39</v>
      </c>
      <c r="H32" s="161">
        <v>73.02</v>
      </c>
      <c r="I32" s="161">
        <v>43.88</v>
      </c>
      <c r="M32" s="13"/>
      <c r="Q32" s="13"/>
      <c r="U32" s="13"/>
    </row>
    <row r="33" spans="1:21" ht="15" x14ac:dyDescent="0.2">
      <c r="A33" s="13" t="s">
        <v>186</v>
      </c>
      <c r="B33" s="160">
        <v>0</v>
      </c>
      <c r="C33" s="161">
        <v>0</v>
      </c>
      <c r="D33" s="160">
        <v>0</v>
      </c>
      <c r="E33" s="160">
        <v>0</v>
      </c>
      <c r="F33" s="162">
        <v>0</v>
      </c>
      <c r="G33" s="161">
        <v>0</v>
      </c>
      <c r="H33" s="161">
        <v>187.53</v>
      </c>
      <c r="I33" s="161">
        <v>0</v>
      </c>
      <c r="M33" s="13"/>
      <c r="Q33" s="13"/>
      <c r="U33" s="13"/>
    </row>
    <row r="34" spans="1:21" ht="15" x14ac:dyDescent="0.2">
      <c r="A34" s="13" t="s">
        <v>38</v>
      </c>
      <c r="B34" s="160">
        <v>0</v>
      </c>
      <c r="C34" s="161">
        <v>0</v>
      </c>
      <c r="D34" s="160">
        <v>0</v>
      </c>
      <c r="E34" s="160">
        <v>0</v>
      </c>
      <c r="F34" s="162">
        <v>21.299999999999997</v>
      </c>
      <c r="G34" s="161">
        <v>48.94</v>
      </c>
      <c r="H34" s="161">
        <v>0</v>
      </c>
      <c r="I34" s="161">
        <v>0</v>
      </c>
      <c r="M34" s="13"/>
      <c r="Q34" s="13"/>
      <c r="U34" s="13"/>
    </row>
    <row r="35" spans="1:21" ht="15" x14ac:dyDescent="0.2">
      <c r="A35" s="13" t="s">
        <v>35</v>
      </c>
      <c r="B35" s="160">
        <v>3.27</v>
      </c>
      <c r="C35" s="161">
        <v>1.58</v>
      </c>
      <c r="D35" s="160">
        <v>0</v>
      </c>
      <c r="E35" s="160">
        <v>0</v>
      </c>
      <c r="F35" s="162">
        <v>7.48</v>
      </c>
      <c r="G35" s="161">
        <v>9.68</v>
      </c>
      <c r="H35" s="161">
        <v>20.99</v>
      </c>
      <c r="I35" s="161">
        <v>0</v>
      </c>
      <c r="M35" s="13"/>
      <c r="Q35" s="13"/>
      <c r="U35" s="13"/>
    </row>
    <row r="36" spans="1:21" ht="15" x14ac:dyDescent="0.2">
      <c r="A36" s="13" t="s">
        <v>182</v>
      </c>
      <c r="B36" s="160">
        <v>0</v>
      </c>
      <c r="C36" s="161">
        <v>0</v>
      </c>
      <c r="D36" s="160">
        <v>9</v>
      </c>
      <c r="E36" s="160">
        <v>0</v>
      </c>
      <c r="F36" s="162">
        <v>0</v>
      </c>
      <c r="G36" s="161">
        <v>0</v>
      </c>
      <c r="H36" s="161">
        <v>0</v>
      </c>
      <c r="I36" s="161">
        <v>0</v>
      </c>
      <c r="M36" s="13"/>
      <c r="Q36" s="13"/>
      <c r="U36" s="13"/>
    </row>
    <row r="37" spans="1:21" ht="15" x14ac:dyDescent="0.2">
      <c r="A37" s="13" t="s">
        <v>177</v>
      </c>
      <c r="B37" s="160">
        <v>42</v>
      </c>
      <c r="C37" s="161">
        <v>0</v>
      </c>
      <c r="D37" s="160">
        <v>0</v>
      </c>
      <c r="E37" s="160">
        <v>18</v>
      </c>
      <c r="F37" s="162">
        <v>0</v>
      </c>
      <c r="G37" s="161">
        <v>89.82</v>
      </c>
      <c r="H37" s="161">
        <v>0</v>
      </c>
      <c r="I37" s="161">
        <v>0</v>
      </c>
      <c r="M37" s="13"/>
      <c r="Q37" s="13"/>
      <c r="U37" s="13"/>
    </row>
    <row r="38" spans="1:21" ht="15" x14ac:dyDescent="0.2">
      <c r="A38" s="13" t="s">
        <v>27</v>
      </c>
      <c r="B38" s="160">
        <v>70</v>
      </c>
      <c r="C38" s="161">
        <v>10.4</v>
      </c>
      <c r="D38" s="160">
        <v>14</v>
      </c>
      <c r="E38" s="160">
        <v>15.6</v>
      </c>
      <c r="F38" s="162">
        <v>0</v>
      </c>
      <c r="G38" s="161">
        <v>23.95</v>
      </c>
      <c r="H38" s="161">
        <v>125</v>
      </c>
      <c r="I38" s="161">
        <v>0</v>
      </c>
      <c r="M38" s="13"/>
      <c r="Q38" s="13"/>
      <c r="U38" s="13"/>
    </row>
    <row r="39" spans="1:21" ht="15" x14ac:dyDescent="0.2">
      <c r="A39" s="13" t="s">
        <v>187</v>
      </c>
      <c r="B39" s="160">
        <v>0</v>
      </c>
      <c r="C39" s="161">
        <v>0</v>
      </c>
      <c r="D39" s="160">
        <v>0</v>
      </c>
      <c r="E39" s="160">
        <v>0</v>
      </c>
      <c r="F39" s="162">
        <v>0</v>
      </c>
      <c r="G39" s="161">
        <v>0</v>
      </c>
      <c r="H39" s="161">
        <v>126.4</v>
      </c>
      <c r="I39" s="161">
        <v>0</v>
      </c>
      <c r="J39" s="166"/>
      <c r="M39" s="13"/>
      <c r="Q39" s="13"/>
      <c r="U39" s="13"/>
    </row>
    <row r="40" spans="1:21" ht="15" x14ac:dyDescent="0.2">
      <c r="A40" s="13" t="s">
        <v>188</v>
      </c>
      <c r="B40" s="160">
        <v>0</v>
      </c>
      <c r="C40" s="161">
        <v>0</v>
      </c>
      <c r="D40" s="160">
        <v>0</v>
      </c>
      <c r="E40" s="160">
        <v>0</v>
      </c>
      <c r="F40" s="162">
        <v>0</v>
      </c>
      <c r="G40" s="161">
        <v>0</v>
      </c>
      <c r="H40" s="161">
        <v>357.5</v>
      </c>
      <c r="I40" s="161">
        <v>0</v>
      </c>
      <c r="M40" s="13"/>
      <c r="Q40" s="13"/>
      <c r="U40" s="13"/>
    </row>
    <row r="41" spans="1:21" ht="15" x14ac:dyDescent="0.2">
      <c r="A41" s="13" t="s">
        <v>190</v>
      </c>
      <c r="B41" s="160">
        <v>0</v>
      </c>
      <c r="C41" s="161">
        <v>0</v>
      </c>
      <c r="D41" s="160">
        <v>0</v>
      </c>
      <c r="E41" s="160">
        <v>0</v>
      </c>
      <c r="F41" s="162">
        <v>0</v>
      </c>
      <c r="G41" s="161">
        <v>0</v>
      </c>
      <c r="H41" s="161">
        <v>50</v>
      </c>
      <c r="I41" s="161">
        <v>50</v>
      </c>
      <c r="M41" s="13"/>
      <c r="Q41" s="13"/>
      <c r="U41" s="13"/>
    </row>
    <row r="42" spans="1:21" ht="15" x14ac:dyDescent="0.2">
      <c r="A42" s="13" t="s">
        <v>189</v>
      </c>
      <c r="B42" s="160">
        <v>0</v>
      </c>
      <c r="C42" s="161">
        <v>0</v>
      </c>
      <c r="D42" s="160">
        <v>0</v>
      </c>
      <c r="E42" s="160">
        <v>0</v>
      </c>
      <c r="F42" s="162">
        <v>0</v>
      </c>
      <c r="G42" s="161">
        <v>0</v>
      </c>
      <c r="H42" s="161">
        <v>7.5</v>
      </c>
      <c r="I42" s="161">
        <v>0</v>
      </c>
      <c r="M42" s="13"/>
      <c r="Q42" s="13"/>
      <c r="U42" s="13"/>
    </row>
    <row r="43" spans="1:21" ht="15" x14ac:dyDescent="0.2">
      <c r="A43" s="13" t="s">
        <v>181</v>
      </c>
      <c r="B43" s="160">
        <v>0</v>
      </c>
      <c r="C43" s="161">
        <v>0</v>
      </c>
      <c r="D43" s="160">
        <v>0</v>
      </c>
      <c r="E43" s="160">
        <v>0</v>
      </c>
      <c r="F43" s="162">
        <v>0</v>
      </c>
      <c r="G43" s="161">
        <v>6</v>
      </c>
      <c r="H43" s="161">
        <v>0</v>
      </c>
      <c r="I43" s="161">
        <v>0</v>
      </c>
      <c r="M43" s="13"/>
      <c r="Q43" s="13"/>
      <c r="U43" s="13"/>
    </row>
    <row r="44" spans="1:21" ht="15" x14ac:dyDescent="0.2">
      <c r="A44" s="13" t="s">
        <v>180</v>
      </c>
      <c r="B44" s="160">
        <v>0</v>
      </c>
      <c r="C44" s="161">
        <v>0</v>
      </c>
      <c r="D44" s="160">
        <v>0</v>
      </c>
      <c r="E44" s="160">
        <v>0</v>
      </c>
      <c r="F44" s="162">
        <v>0</v>
      </c>
      <c r="G44" s="161">
        <v>8.74</v>
      </c>
      <c r="H44" s="161">
        <v>0</v>
      </c>
      <c r="I44" s="161">
        <v>0</v>
      </c>
      <c r="M44" s="13"/>
      <c r="Q44" s="13"/>
      <c r="U44" s="13"/>
    </row>
    <row r="45" spans="1:21" ht="15" x14ac:dyDescent="0.2">
      <c r="A45" s="13" t="s">
        <v>26</v>
      </c>
      <c r="B45" s="160">
        <v>25.41</v>
      </c>
      <c r="C45" s="161">
        <v>25.41</v>
      </c>
      <c r="D45" s="160">
        <v>23.13</v>
      </c>
      <c r="E45" s="160">
        <v>26.08</v>
      </c>
      <c r="F45" s="162">
        <v>55.65</v>
      </c>
      <c r="G45" s="161">
        <v>61.96</v>
      </c>
      <c r="H45" s="161">
        <v>219.31</v>
      </c>
      <c r="I45" s="161">
        <v>88.53</v>
      </c>
      <c r="M45" s="13"/>
      <c r="Q45" s="13"/>
      <c r="U45" s="13"/>
    </row>
    <row r="46" spans="1:21" ht="15" x14ac:dyDescent="0.2">
      <c r="A46" s="13" t="s">
        <v>25</v>
      </c>
      <c r="B46" s="160">
        <v>22.26</v>
      </c>
      <c r="C46" s="161">
        <v>22.26</v>
      </c>
      <c r="D46" s="160">
        <v>19.809999999999999</v>
      </c>
      <c r="E46" s="160">
        <v>21.16</v>
      </c>
      <c r="F46" s="162">
        <v>39.380000000000003</v>
      </c>
      <c r="G46" s="161">
        <v>56.14</v>
      </c>
      <c r="H46" s="161">
        <v>672.65</v>
      </c>
      <c r="I46" s="161">
        <v>242.38</v>
      </c>
      <c r="M46" s="13"/>
      <c r="Q46" s="13"/>
      <c r="U46" s="13"/>
    </row>
    <row r="47" spans="1:21" ht="15" x14ac:dyDescent="0.2">
      <c r="A47" s="13" t="s">
        <v>229</v>
      </c>
      <c r="B47" s="160">
        <v>0</v>
      </c>
      <c r="C47" s="161">
        <v>0</v>
      </c>
      <c r="D47" s="160">
        <v>0</v>
      </c>
      <c r="E47" s="160">
        <v>0</v>
      </c>
      <c r="F47" s="162">
        <v>0</v>
      </c>
      <c r="G47" s="161">
        <v>0</v>
      </c>
      <c r="H47" s="161">
        <v>0</v>
      </c>
      <c r="I47" s="161">
        <f>1.5*I4</f>
        <v>750</v>
      </c>
      <c r="M47" s="13"/>
      <c r="Q47" s="13"/>
      <c r="U47" s="13"/>
    </row>
    <row r="48" spans="1:21" ht="15" x14ac:dyDescent="0.2">
      <c r="A48" s="13" t="s">
        <v>230</v>
      </c>
      <c r="B48" s="160">
        <v>0</v>
      </c>
      <c r="C48" s="161">
        <v>0</v>
      </c>
      <c r="D48" s="160">
        <v>0</v>
      </c>
      <c r="E48" s="160">
        <v>0</v>
      </c>
      <c r="F48" s="162">
        <v>0</v>
      </c>
      <c r="G48" s="161">
        <v>0</v>
      </c>
      <c r="H48" s="161">
        <v>0</v>
      </c>
      <c r="I48" s="161">
        <f>1*I4</f>
        <v>500</v>
      </c>
      <c r="M48" s="13"/>
      <c r="Q48" s="13"/>
      <c r="U48" s="13"/>
    </row>
    <row r="49" spans="1:21" ht="15" x14ac:dyDescent="0.2">
      <c r="A49" s="13" t="s">
        <v>24</v>
      </c>
      <c r="B49" s="160">
        <v>12</v>
      </c>
      <c r="C49" s="161">
        <v>12</v>
      </c>
      <c r="D49" s="160">
        <v>0</v>
      </c>
      <c r="E49" s="160">
        <v>0</v>
      </c>
      <c r="F49" s="162">
        <v>16</v>
      </c>
      <c r="G49" s="161">
        <v>16</v>
      </c>
      <c r="H49" s="161">
        <v>20</v>
      </c>
      <c r="I49" s="161">
        <v>20</v>
      </c>
      <c r="M49" s="13"/>
      <c r="Q49" s="13"/>
      <c r="U49" s="13"/>
    </row>
    <row r="50" spans="1:21" ht="15" x14ac:dyDescent="0.2">
      <c r="A50" s="13" t="s">
        <v>23</v>
      </c>
      <c r="B50" s="163">
        <f>$B$2</f>
        <v>150</v>
      </c>
      <c r="C50" s="163">
        <f t="shared" ref="C50:I50" si="2">$B$2</f>
        <v>150</v>
      </c>
      <c r="D50" s="163">
        <f t="shared" si="2"/>
        <v>150</v>
      </c>
      <c r="E50" s="163">
        <f t="shared" si="2"/>
        <v>150</v>
      </c>
      <c r="F50" s="163">
        <f t="shared" si="2"/>
        <v>150</v>
      </c>
      <c r="G50" s="163">
        <f t="shared" si="2"/>
        <v>150</v>
      </c>
      <c r="H50" s="163">
        <f t="shared" si="2"/>
        <v>150</v>
      </c>
      <c r="I50" s="163">
        <f t="shared" si="2"/>
        <v>150</v>
      </c>
      <c r="M50" s="13"/>
      <c r="Q50" s="13"/>
      <c r="U50" s="13"/>
    </row>
    <row r="51" spans="1:21" ht="15" hidden="1" x14ac:dyDescent="0.2">
      <c r="A51" s="13" t="s">
        <v>39</v>
      </c>
      <c r="B51" s="160">
        <v>0</v>
      </c>
      <c r="C51" s="161">
        <v>0</v>
      </c>
      <c r="D51" s="160">
        <v>0</v>
      </c>
      <c r="E51" s="160">
        <v>0</v>
      </c>
      <c r="F51" s="162">
        <v>93.52</v>
      </c>
      <c r="G51" s="161">
        <v>0</v>
      </c>
      <c r="H51" s="161">
        <v>0</v>
      </c>
      <c r="I51" s="161">
        <v>0</v>
      </c>
      <c r="M51" s="13"/>
      <c r="Q51" s="13"/>
      <c r="U51" s="13"/>
    </row>
    <row r="52" spans="1:21" ht="15" x14ac:dyDescent="0.2">
      <c r="A52" s="13" t="s">
        <v>208</v>
      </c>
      <c r="B52" s="160">
        <v>0</v>
      </c>
      <c r="C52" s="161">
        <v>0</v>
      </c>
      <c r="D52" s="160">
        <v>0</v>
      </c>
      <c r="E52" s="160">
        <v>0</v>
      </c>
      <c r="F52" s="163">
        <f>F6*B78</f>
        <v>260.52</v>
      </c>
      <c r="G52" s="161">
        <v>0</v>
      </c>
      <c r="H52" s="161">
        <v>0</v>
      </c>
      <c r="I52" s="161">
        <v>0</v>
      </c>
      <c r="M52" s="13"/>
      <c r="Q52" s="13"/>
      <c r="U52" s="13"/>
    </row>
    <row r="53" spans="1:21" ht="15" x14ac:dyDescent="0.2">
      <c r="A53" s="13" t="s">
        <v>209</v>
      </c>
      <c r="B53" s="160">
        <v>15</v>
      </c>
      <c r="C53" s="161">
        <v>15</v>
      </c>
      <c r="D53" s="160">
        <v>10</v>
      </c>
      <c r="E53" s="160">
        <v>9</v>
      </c>
      <c r="F53" s="162">
        <v>30</v>
      </c>
      <c r="G53" s="161">
        <v>30</v>
      </c>
      <c r="H53" s="161">
        <v>120</v>
      </c>
      <c r="I53" s="161">
        <v>130</v>
      </c>
      <c r="M53" s="13"/>
      <c r="Q53" s="13"/>
      <c r="U53" s="13"/>
    </row>
    <row r="54" spans="1:21" ht="15" x14ac:dyDescent="0.2">
      <c r="A54" s="12" t="s">
        <v>22</v>
      </c>
      <c r="B54" s="160">
        <v>6.85</v>
      </c>
      <c r="C54" s="161">
        <v>4</v>
      </c>
      <c r="D54" s="160">
        <v>4.32</v>
      </c>
      <c r="E54" s="160">
        <v>3.14</v>
      </c>
      <c r="F54" s="162">
        <v>10.59</v>
      </c>
      <c r="G54" s="161">
        <v>12.73</v>
      </c>
      <c r="H54" s="161">
        <v>48.11</v>
      </c>
      <c r="I54" s="161">
        <v>64.17</v>
      </c>
      <c r="M54" s="12"/>
      <c r="Q54" s="12"/>
      <c r="U54" s="12"/>
    </row>
    <row r="55" spans="1:21" ht="16.5" thickBot="1" x14ac:dyDescent="0.3">
      <c r="A55" s="19"/>
      <c r="B55" s="164"/>
      <c r="C55" s="165"/>
      <c r="D55" s="165"/>
      <c r="E55" s="165"/>
      <c r="F55" s="165"/>
      <c r="G55" s="165"/>
      <c r="H55" s="165"/>
      <c r="I55" s="12"/>
      <c r="M55" s="12"/>
      <c r="Q55" s="12"/>
      <c r="U55" s="12"/>
    </row>
    <row r="56" spans="1:21" ht="15.75" thickTop="1" x14ac:dyDescent="0.25">
      <c r="A56" s="38" t="s">
        <v>4</v>
      </c>
      <c r="B56" s="39">
        <f>SUM(B13:B55)</f>
        <v>569.67000000000007</v>
      </c>
      <c r="C56" s="39">
        <f>SUM(C13:C55)</f>
        <v>373.85</v>
      </c>
      <c r="D56" s="39">
        <f>SUM(D13:D55)</f>
        <v>370.84</v>
      </c>
      <c r="E56" s="39">
        <f>SUM(E39:E44,E54,E53,E52,E50,E49,E46,E45,E38,E37,E36,E35,E34,E32,E30,E29,E27,E26,E24,E23,E22,E19,E17,E13)</f>
        <v>347.85999999999996</v>
      </c>
      <c r="F56" s="39">
        <f>SUM(F54,F53,F52,F50,F49,F46,F45,F38,F37,F36,F35,F34,F32,F30,F29,F27,F26,F24,F23,F22,F19,F17,F13,F39:F44)</f>
        <v>890.80999999999983</v>
      </c>
      <c r="G56" s="39">
        <f>SUM(G13:G55)</f>
        <v>856.09</v>
      </c>
      <c r="H56" s="39">
        <f>SUM(H13:H55)</f>
        <v>2908.96</v>
      </c>
      <c r="I56" s="39">
        <f>SUM(I13:I55)</f>
        <v>2912.79</v>
      </c>
    </row>
    <row r="57" spans="1:21" ht="15.75" thickBot="1" x14ac:dyDescent="0.3">
      <c r="A57" s="24" t="s">
        <v>11</v>
      </c>
      <c r="B57" s="25">
        <f t="shared" ref="B57:I57" si="3">B11-B56</f>
        <v>18.329999999999927</v>
      </c>
      <c r="C57" s="25">
        <f t="shared" si="3"/>
        <v>160.14999999999998</v>
      </c>
      <c r="D57" s="25">
        <f t="shared" si="3"/>
        <v>-22.239999999999952</v>
      </c>
      <c r="E57" s="25">
        <f t="shared" si="3"/>
        <v>-114.18499999999997</v>
      </c>
      <c r="F57" s="25">
        <f t="shared" si="3"/>
        <v>49.510000000000105</v>
      </c>
      <c r="G57" s="25">
        <f t="shared" si="3"/>
        <v>293.90999999999997</v>
      </c>
      <c r="H57" s="25">
        <f t="shared" si="3"/>
        <v>791.04</v>
      </c>
      <c r="I57" s="25">
        <f t="shared" si="3"/>
        <v>1187.21</v>
      </c>
    </row>
    <row r="58" spans="1:21" ht="16.5" thickTop="1" x14ac:dyDescent="0.25">
      <c r="A58" s="185" t="s">
        <v>43</v>
      </c>
      <c r="B58" s="185"/>
      <c r="C58" s="185"/>
      <c r="D58" s="185"/>
      <c r="E58" s="185"/>
      <c r="F58" s="185"/>
      <c r="G58" s="185"/>
      <c r="H58" s="185"/>
      <c r="I58" s="185"/>
    </row>
    <row r="59" spans="1:21" ht="15" x14ac:dyDescent="0.2">
      <c r="A59" s="12" t="s">
        <v>56</v>
      </c>
      <c r="B59" s="40">
        <v>54.67</v>
      </c>
      <c r="C59" s="40">
        <v>54.67</v>
      </c>
      <c r="D59" s="40">
        <v>42.11</v>
      </c>
      <c r="E59" s="40">
        <v>61.85</v>
      </c>
      <c r="F59" s="40">
        <v>138.32</v>
      </c>
      <c r="G59" s="40">
        <v>123.33</v>
      </c>
      <c r="H59" s="40">
        <v>405.12</v>
      </c>
      <c r="I59" s="40">
        <v>88.53</v>
      </c>
    </row>
    <row r="60" spans="1:21" ht="15" x14ac:dyDescent="0.2">
      <c r="A60" s="12" t="s">
        <v>219</v>
      </c>
      <c r="B60" s="40"/>
      <c r="C60" s="40"/>
      <c r="D60" s="40"/>
      <c r="E60" s="149" t="s">
        <v>191</v>
      </c>
      <c r="F60" s="149" t="s">
        <v>191</v>
      </c>
      <c r="G60" s="149" t="s">
        <v>191</v>
      </c>
      <c r="H60" s="40">
        <v>354.83</v>
      </c>
      <c r="I60" s="149" t="s">
        <v>191</v>
      </c>
    </row>
    <row r="61" spans="1:21" ht="15.95" customHeight="1" thickBot="1" x14ac:dyDescent="0.25">
      <c r="A61" s="186" t="s">
        <v>231</v>
      </c>
      <c r="B61" s="186"/>
      <c r="C61" s="186"/>
      <c r="D61" s="186"/>
      <c r="E61" s="186"/>
      <c r="F61" s="186"/>
      <c r="G61" s="186"/>
      <c r="H61" s="186"/>
      <c r="I61" s="186"/>
      <c r="L61" s="12"/>
      <c r="M61" s="40"/>
      <c r="N61" s="40"/>
      <c r="O61" s="40"/>
      <c r="P61" s="40"/>
      <c r="Q61" s="40"/>
      <c r="R61" s="40"/>
      <c r="S61" s="40"/>
    </row>
    <row r="62" spans="1:21" ht="15.75" thickTop="1" x14ac:dyDescent="0.25">
      <c r="A62" s="38" t="s">
        <v>41</v>
      </c>
      <c r="B62" s="39">
        <f t="shared" ref="B62:H62" si="4">SUM(B59:B61)</f>
        <v>54.67</v>
      </c>
      <c r="C62" s="39">
        <f t="shared" si="4"/>
        <v>54.67</v>
      </c>
      <c r="D62" s="39">
        <f>SUM(D59:D61)</f>
        <v>42.11</v>
      </c>
      <c r="E62" s="39">
        <f t="shared" si="4"/>
        <v>61.85</v>
      </c>
      <c r="F62" s="39">
        <f t="shared" si="4"/>
        <v>138.32</v>
      </c>
      <c r="G62" s="39">
        <f t="shared" si="4"/>
        <v>123.33</v>
      </c>
      <c r="H62" s="39">
        <f t="shared" si="4"/>
        <v>759.95</v>
      </c>
      <c r="I62" s="39">
        <f t="shared" ref="I62" si="5">SUM(I59:I61)</f>
        <v>88.53</v>
      </c>
    </row>
    <row r="63" spans="1:21" ht="15.75" thickBot="1" x14ac:dyDescent="0.3">
      <c r="A63" s="26" t="s">
        <v>40</v>
      </c>
      <c r="B63" s="27">
        <f t="shared" ref="B63:H63" si="6">B62+B56</f>
        <v>624.34</v>
      </c>
      <c r="C63" s="27">
        <f t="shared" si="6"/>
        <v>428.52000000000004</v>
      </c>
      <c r="D63" s="27">
        <f>D62+D56</f>
        <v>412.95</v>
      </c>
      <c r="E63" s="27">
        <f t="shared" si="6"/>
        <v>409.71</v>
      </c>
      <c r="F63" s="27">
        <f t="shared" si="6"/>
        <v>1029.1299999999999</v>
      </c>
      <c r="G63" s="27">
        <f>G62+G56</f>
        <v>979.42000000000007</v>
      </c>
      <c r="H63" s="27">
        <f t="shared" si="6"/>
        <v>3668.91</v>
      </c>
      <c r="I63" s="27">
        <f t="shared" ref="I63" si="7">I62+I56</f>
        <v>3001.32</v>
      </c>
    </row>
    <row r="64" spans="1:21" ht="17.25" thickTop="1" thickBot="1" x14ac:dyDescent="0.3">
      <c r="A64" s="36" t="s">
        <v>42</v>
      </c>
      <c r="B64" s="37">
        <f t="shared" ref="B64:I64" si="8">B11-B63</f>
        <v>-36.340000000000032</v>
      </c>
      <c r="C64" s="37">
        <f t="shared" si="8"/>
        <v>105.47999999999996</v>
      </c>
      <c r="D64" s="37">
        <f t="shared" si="8"/>
        <v>-64.349999999999966</v>
      </c>
      <c r="E64" s="37">
        <f t="shared" si="8"/>
        <v>-176.035</v>
      </c>
      <c r="F64" s="37">
        <f t="shared" si="8"/>
        <v>-88.809999999999945</v>
      </c>
      <c r="G64" s="37">
        <f t="shared" si="8"/>
        <v>170.57999999999993</v>
      </c>
      <c r="H64" s="37">
        <f t="shared" si="8"/>
        <v>31.090000000000146</v>
      </c>
      <c r="I64" s="37">
        <f t="shared" si="8"/>
        <v>1098.6799999999998</v>
      </c>
    </row>
    <row r="65" spans="1:9" ht="15.75" thickTop="1" x14ac:dyDescent="0.25">
      <c r="A65" s="28"/>
      <c r="C65" s="29"/>
      <c r="D65" s="29"/>
      <c r="E65" s="29"/>
      <c r="F65" s="29"/>
      <c r="G65" s="29"/>
      <c r="H65" s="29"/>
    </row>
    <row r="66" spans="1:9" ht="15" x14ac:dyDescent="0.25">
      <c r="A66" s="30" t="s">
        <v>5</v>
      </c>
      <c r="B66" s="31">
        <f>B63/B10</f>
        <v>148.65238095238095</v>
      </c>
      <c r="C66" s="31">
        <f>C63/C10</f>
        <v>48.148314606741579</v>
      </c>
      <c r="D66" s="31">
        <f>D63/D10</f>
        <v>82.921686746987945</v>
      </c>
      <c r="E66" s="31">
        <f>E63/E10</f>
        <v>113.96662030598053</v>
      </c>
      <c r="F66" s="31">
        <f>(F63-((F8*F6)-F52))/F10</f>
        <v>1737.4307692307691</v>
      </c>
      <c r="G66" s="31">
        <f>G63/G10</f>
        <v>4258.347826086957</v>
      </c>
      <c r="H66" s="31">
        <f>H63/H10</f>
        <v>1983.1945945945945</v>
      </c>
      <c r="I66" s="31">
        <f>I63/I10</f>
        <v>366.01463414634151</v>
      </c>
    </row>
    <row r="67" spans="1:9" ht="15" x14ac:dyDescent="0.25">
      <c r="A67" s="30" t="s">
        <v>6</v>
      </c>
      <c r="B67" s="32">
        <f>B63/B4</f>
        <v>4.4595714285714285</v>
      </c>
      <c r="C67" s="32">
        <f>C63/C4</f>
        <v>7.1420000000000003</v>
      </c>
      <c r="D67" s="32">
        <f>D63/D4</f>
        <v>5.899285714285714</v>
      </c>
      <c r="E67" s="32">
        <f>E63/E4</f>
        <v>6.303230769230769</v>
      </c>
      <c r="F67" s="32">
        <f>(F63-F52)/F5</f>
        <v>0.64050833333333324</v>
      </c>
      <c r="G67" s="32">
        <f>G63/G5</f>
        <v>0.195884</v>
      </c>
      <c r="H67" s="32">
        <f>H63/H5</f>
        <v>1.8344549999999999</v>
      </c>
      <c r="I67" s="32">
        <f>I63/I4</f>
        <v>6.0026400000000004</v>
      </c>
    </row>
    <row r="68" spans="1:9" ht="15" x14ac:dyDescent="0.25">
      <c r="A68" s="28"/>
      <c r="C68" s="28"/>
      <c r="D68" s="28"/>
      <c r="E68" s="28"/>
      <c r="F68" s="28"/>
      <c r="G68" s="28"/>
      <c r="H68" s="28"/>
      <c r="I68" s="28"/>
    </row>
    <row r="69" spans="1:9" ht="15.75" thickBot="1" x14ac:dyDescent="0.3">
      <c r="A69" s="33" t="s">
        <v>62</v>
      </c>
      <c r="B69" s="34">
        <f>B66/'State Yields'!B14</f>
        <v>1.2305660674865972</v>
      </c>
      <c r="C69" s="34">
        <f>C66/'State Yields'!C14</f>
        <v>1.3678498467824312</v>
      </c>
      <c r="D69" s="34">
        <f>D66/'State Yields'!D14</f>
        <v>1.5824749379196172</v>
      </c>
      <c r="E69" s="117" t="s">
        <v>198</v>
      </c>
      <c r="F69" s="34">
        <f>F66/'State Yields'!E14</f>
        <v>2.1381131789696886</v>
      </c>
      <c r="G69" s="34">
        <f>G66/'State Yields'!F14</f>
        <v>1.0986449499708351</v>
      </c>
      <c r="H69" s="34">
        <f>H66/'State Yields'!G14</f>
        <v>1.0075160509015415</v>
      </c>
      <c r="I69" s="34">
        <f>I66/'State Yields'!H14</f>
        <v>0.98391030684500402</v>
      </c>
    </row>
    <row r="70" spans="1:9" ht="15" thickTop="1" x14ac:dyDescent="0.2">
      <c r="A70" s="35" t="s">
        <v>10</v>
      </c>
      <c r="C70" s="23"/>
      <c r="D70" s="23"/>
      <c r="E70" s="23"/>
      <c r="F70" s="23"/>
      <c r="G70" s="23"/>
      <c r="H70" s="23"/>
    </row>
    <row r="71" spans="1:9" x14ac:dyDescent="0.2">
      <c r="A71" s="41" t="s">
        <v>71</v>
      </c>
    </row>
    <row r="72" spans="1:9" x14ac:dyDescent="0.2">
      <c r="A72" s="41" t="s">
        <v>58</v>
      </c>
    </row>
    <row r="73" spans="1:9" x14ac:dyDescent="0.2">
      <c r="A73" s="41" t="s">
        <v>19</v>
      </c>
    </row>
    <row r="74" spans="1:9" x14ac:dyDescent="0.2">
      <c r="A74" s="41" t="s">
        <v>59</v>
      </c>
    </row>
    <row r="75" spans="1:9" x14ac:dyDescent="0.2">
      <c r="A75" s="41" t="s">
        <v>19</v>
      </c>
    </row>
    <row r="76" spans="1:9" ht="15" x14ac:dyDescent="0.25">
      <c r="A76" s="150" t="s">
        <v>223</v>
      </c>
    </row>
    <row r="77" spans="1:9" ht="24" customHeight="1" thickBot="1" x14ac:dyDescent="0.25">
      <c r="A77" s="170" t="s">
        <v>63</v>
      </c>
      <c r="B77" s="170"/>
      <c r="C77" s="170"/>
      <c r="D77" s="170"/>
      <c r="E77" s="170"/>
      <c r="F77" s="170"/>
    </row>
    <row r="78" spans="1:9" ht="15" thickBot="1" x14ac:dyDescent="0.25">
      <c r="A78" s="120" t="s">
        <v>220</v>
      </c>
      <c r="B78" s="141">
        <v>0.13</v>
      </c>
      <c r="F78" s="120" t="s">
        <v>221</v>
      </c>
      <c r="G78" s="121">
        <f>(F52-(F8*F6))/F5</f>
        <v>8.3499999999999991E-2</v>
      </c>
    </row>
    <row r="79" spans="1:9" x14ac:dyDescent="0.2">
      <c r="A79" s="73" t="s">
        <v>70</v>
      </c>
    </row>
    <row r="80" spans="1:9" x14ac:dyDescent="0.2">
      <c r="A80" s="73" t="s">
        <v>228</v>
      </c>
    </row>
    <row r="81" spans="1:8" x14ac:dyDescent="0.2">
      <c r="A81" s="73" t="s">
        <v>69</v>
      </c>
    </row>
    <row r="82" spans="1:8" x14ac:dyDescent="0.2">
      <c r="A82" s="73" t="s">
        <v>211</v>
      </c>
    </row>
    <row r="83" spans="1:8" x14ac:dyDescent="0.2">
      <c r="A83" s="73" t="s">
        <v>210</v>
      </c>
    </row>
    <row r="84" spans="1:8" x14ac:dyDescent="0.2">
      <c r="A84" s="73" t="s">
        <v>212</v>
      </c>
    </row>
    <row r="85" spans="1:8" x14ac:dyDescent="0.2">
      <c r="A85" s="73" t="s">
        <v>213</v>
      </c>
    </row>
    <row r="86" spans="1:8" ht="39.950000000000003" customHeight="1" x14ac:dyDescent="0.2">
      <c r="A86" s="182" t="s">
        <v>214</v>
      </c>
      <c r="B86" s="182"/>
      <c r="C86" s="182"/>
      <c r="D86" s="182"/>
      <c r="E86" s="182"/>
      <c r="F86" s="182"/>
      <c r="G86" s="182"/>
      <c r="H86" s="182"/>
    </row>
    <row r="87" spans="1:8" ht="15" customHeight="1" x14ac:dyDescent="0.2">
      <c r="A87" s="148" t="s">
        <v>215</v>
      </c>
      <c r="B87" s="123"/>
      <c r="C87" s="123"/>
      <c r="D87" s="123"/>
      <c r="E87" s="123"/>
      <c r="F87" s="123"/>
      <c r="G87" s="123"/>
      <c r="H87" s="123"/>
    </row>
    <row r="88" spans="1:8" ht="15" customHeight="1" x14ac:dyDescent="0.2">
      <c r="A88" s="148" t="s">
        <v>216</v>
      </c>
      <c r="B88" s="123"/>
      <c r="C88" s="123"/>
      <c r="D88" s="123"/>
      <c r="E88" s="123"/>
      <c r="F88" s="123"/>
      <c r="G88" s="123"/>
      <c r="H88" s="123"/>
    </row>
    <row r="89" spans="1:8" ht="21" customHeight="1" x14ac:dyDescent="0.2">
      <c r="A89" s="73" t="s">
        <v>217</v>
      </c>
    </row>
    <row r="90" spans="1:8" x14ac:dyDescent="0.2">
      <c r="A90" s="73" t="s">
        <v>218</v>
      </c>
    </row>
    <row r="91" spans="1:8" x14ac:dyDescent="0.2">
      <c r="A91" s="73"/>
    </row>
    <row r="92" spans="1:8" x14ac:dyDescent="0.2">
      <c r="A92" s="73"/>
    </row>
    <row r="93" spans="1:8" x14ac:dyDescent="0.2">
      <c r="A93" s="73"/>
    </row>
  </sheetData>
  <mergeCells count="5">
    <mergeCell ref="A86:H86"/>
    <mergeCell ref="A1:I1"/>
    <mergeCell ref="A12:I12"/>
    <mergeCell ref="A58:I58"/>
    <mergeCell ref="A61:I61"/>
  </mergeCells>
  <hyperlinks>
    <hyperlink ref="A76" r:id="rId1"/>
  </hyperlinks>
  <pageMargins left="0.7" right="0.7" top="0.75" bottom="0.75" header="0.3" footer="0.3"/>
  <pageSetup scale="6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35"/>
  <sheetViews>
    <sheetView topLeftCell="B14" zoomScale="90" zoomScaleNormal="90" workbookViewId="0">
      <selection activeCell="K14" sqref="K14"/>
    </sheetView>
  </sheetViews>
  <sheetFormatPr defaultColWidth="9.140625" defaultRowHeight="14.25" x14ac:dyDescent="0.2"/>
  <cols>
    <col min="1" max="1" width="9.140625" style="42"/>
    <col min="2" max="2" width="29.7109375" style="42" customWidth="1"/>
    <col min="3" max="3" width="14.28515625" style="42" customWidth="1"/>
    <col min="4" max="5" width="17.5703125" style="42" customWidth="1"/>
    <col min="6" max="6" width="11.85546875" style="42" customWidth="1"/>
    <col min="7" max="7" width="18.140625" style="42" customWidth="1"/>
    <col min="8" max="11" width="14.28515625" style="42" customWidth="1"/>
    <col min="12" max="12" width="18.85546875" style="42" customWidth="1"/>
    <col min="13" max="16384" width="9.140625" style="42"/>
  </cols>
  <sheetData>
    <row r="2" spans="2:11" ht="49.5" customHeight="1" x14ac:dyDescent="0.6">
      <c r="B2" s="156" t="s">
        <v>65</v>
      </c>
      <c r="C2" s="152"/>
      <c r="D2" s="152"/>
      <c r="E2" s="152"/>
      <c r="F2" s="152"/>
      <c r="G2" s="152"/>
      <c r="H2" s="153"/>
      <c r="I2" s="153"/>
      <c r="J2" s="153"/>
      <c r="K2" s="153"/>
    </row>
    <row r="3" spans="2:11" ht="24.75" customHeight="1" x14ac:dyDescent="0.55000000000000004">
      <c r="B3" s="155"/>
      <c r="C3" s="152"/>
      <c r="D3" s="152"/>
      <c r="E3" s="152"/>
      <c r="F3" s="152"/>
      <c r="G3" s="152"/>
      <c r="H3" s="153"/>
      <c r="I3" s="153"/>
      <c r="J3" s="153"/>
      <c r="K3" s="153"/>
    </row>
    <row r="4" spans="2:11" ht="87.95" customHeight="1" x14ac:dyDescent="0.25">
      <c r="B4" s="48"/>
      <c r="C4" s="49" t="s">
        <v>192</v>
      </c>
      <c r="D4" s="49" t="s">
        <v>45</v>
      </c>
      <c r="E4" s="49" t="s">
        <v>193</v>
      </c>
      <c r="F4" s="49" t="s">
        <v>44</v>
      </c>
      <c r="G4" s="59"/>
      <c r="H4" s="49" t="s">
        <v>194</v>
      </c>
      <c r="I4" s="49" t="s">
        <v>46</v>
      </c>
      <c r="J4" s="49" t="s">
        <v>234</v>
      </c>
      <c r="K4" s="49" t="s">
        <v>47</v>
      </c>
    </row>
    <row r="5" spans="2:11" s="44" customFormat="1" ht="18.95" customHeight="1" x14ac:dyDescent="0.25">
      <c r="B5" s="50" t="s">
        <v>0</v>
      </c>
      <c r="C5" s="51">
        <f>'Crop Comparison'!B56</f>
        <v>569.67000000000007</v>
      </c>
      <c r="D5" s="52">
        <f>$C$5/'Crop Comparison'!B4</f>
        <v>4.0690714285714291</v>
      </c>
      <c r="E5" s="51">
        <f>'Crop Comparison'!B63</f>
        <v>624.34</v>
      </c>
      <c r="F5" s="51">
        <f>E5/'Crop Comparison'!B4</f>
        <v>4.4595714285714285</v>
      </c>
      <c r="G5" s="59"/>
      <c r="H5" s="53">
        <f>'Crop Comparison'!B57</f>
        <v>18.329999999999927</v>
      </c>
      <c r="I5" s="157">
        <f>H5/'Crop Comparison'!B4</f>
        <v>0.13092857142857092</v>
      </c>
      <c r="J5" s="53">
        <f>'Crop Comparison'!B64</f>
        <v>-36.340000000000032</v>
      </c>
      <c r="K5" s="118">
        <f>J5/'Crop Comparison'!B4</f>
        <v>-0.25957142857142879</v>
      </c>
    </row>
    <row r="6" spans="2:11" ht="18.95" customHeight="1" x14ac:dyDescent="0.25">
      <c r="B6" s="50" t="s">
        <v>20</v>
      </c>
      <c r="C6" s="51">
        <f>'Crop Comparison'!C56</f>
        <v>373.85</v>
      </c>
      <c r="D6" s="52">
        <f>$C$6/'Crop Comparison'!C4</f>
        <v>6.2308333333333339</v>
      </c>
      <c r="E6" s="51">
        <f>'Crop Comparison'!C63</f>
        <v>428.52000000000004</v>
      </c>
      <c r="F6" s="51">
        <f>E6/'Crop Comparison'!C4</f>
        <v>7.1420000000000003</v>
      </c>
      <c r="G6" s="59"/>
      <c r="H6" s="53">
        <f>'Crop Comparison'!C57</f>
        <v>160.14999999999998</v>
      </c>
      <c r="I6" s="51">
        <f>H6/'Crop Comparison'!C4</f>
        <v>2.6691666666666665</v>
      </c>
      <c r="J6" s="53">
        <f>'Crop Comparison'!C64</f>
        <v>105.47999999999996</v>
      </c>
      <c r="K6" s="118">
        <f>J6/'Crop Comparison'!C4</f>
        <v>1.7579999999999993</v>
      </c>
    </row>
    <row r="7" spans="2:11" ht="18.95" customHeight="1" x14ac:dyDescent="0.25">
      <c r="B7" s="50" t="s">
        <v>2</v>
      </c>
      <c r="C7" s="51">
        <f>'Crop Comparison'!D56</f>
        <v>370.84</v>
      </c>
      <c r="D7" s="52">
        <f>$C$7/'Crop Comparison'!D4</f>
        <v>5.2977142857142852</v>
      </c>
      <c r="E7" s="51">
        <f>'Crop Comparison'!D63</f>
        <v>412.95</v>
      </c>
      <c r="F7" s="51">
        <f>E7/'Crop Comparison'!D4</f>
        <v>5.899285714285714</v>
      </c>
      <c r="G7" s="59"/>
      <c r="H7" s="53">
        <f>'Crop Comparison'!D57</f>
        <v>-22.239999999999952</v>
      </c>
      <c r="I7" s="51">
        <f>H7/'Crop Comparison'!D4</f>
        <v>-0.31771428571428501</v>
      </c>
      <c r="J7" s="53">
        <f>'Crop Comparison'!D64</f>
        <v>-64.349999999999966</v>
      </c>
      <c r="K7" s="118">
        <f>J7/'Crop Comparison'!D4</f>
        <v>-0.91928571428571382</v>
      </c>
    </row>
    <row r="8" spans="2:11" ht="18.95" customHeight="1" x14ac:dyDescent="0.25">
      <c r="B8" s="50" t="s">
        <v>21</v>
      </c>
      <c r="C8" s="51">
        <f>'Crop Comparison'!E56</f>
        <v>347.85999999999996</v>
      </c>
      <c r="D8" s="52">
        <f>$C$8/'Crop Comparison'!E4</f>
        <v>5.3516923076923071</v>
      </c>
      <c r="E8" s="51">
        <f>'Crop Comparison'!E63</f>
        <v>409.71</v>
      </c>
      <c r="F8" s="51">
        <f>E8/'Crop Comparison'!E4</f>
        <v>6.303230769230769</v>
      </c>
      <c r="G8" s="59"/>
      <c r="H8" s="53">
        <f>'Crop Comparison'!E57</f>
        <v>-114.18499999999997</v>
      </c>
      <c r="I8" s="51">
        <f>H8/'Crop Comparison'!E4</f>
        <v>-1.7566923076923073</v>
      </c>
      <c r="J8" s="53">
        <f>'Crop Comparison'!E64</f>
        <v>-176.035</v>
      </c>
      <c r="K8" s="118">
        <f>J8/'Crop Comparison'!F5</f>
        <v>-0.14669583333333333</v>
      </c>
    </row>
    <row r="9" spans="2:11" ht="18.95" customHeight="1" x14ac:dyDescent="0.25">
      <c r="B9" s="50" t="s">
        <v>168</v>
      </c>
      <c r="C9" s="51">
        <f>'Crop Comparison'!H56</f>
        <v>2908.96</v>
      </c>
      <c r="D9" s="52">
        <f>C9/'Crop Comparison'!H5</f>
        <v>1.45448</v>
      </c>
      <c r="E9" s="51">
        <f>'Crop Comparison'!H63</f>
        <v>3668.91</v>
      </c>
      <c r="F9" s="51">
        <f>E9/'Crop Comparison'!H5</f>
        <v>1.8344549999999999</v>
      </c>
      <c r="G9" s="59"/>
      <c r="H9" s="53">
        <f>'Crop Comparison'!H57</f>
        <v>791.04</v>
      </c>
      <c r="I9" s="51">
        <f>H9/'Crop Comparison'!H5</f>
        <v>0.39551999999999998</v>
      </c>
      <c r="J9" s="53">
        <f>'Crop Comparison'!H64</f>
        <v>31.090000000000146</v>
      </c>
      <c r="K9" s="118">
        <f>J9/'Crop Comparison'!H5</f>
        <v>1.5545000000000073E-2</v>
      </c>
    </row>
    <row r="10" spans="2:11" ht="18.95" customHeight="1" x14ac:dyDescent="0.25">
      <c r="B10" s="50" t="s">
        <v>224</v>
      </c>
      <c r="C10" s="51">
        <f>'Crop Comparison'!I56</f>
        <v>2912.79</v>
      </c>
      <c r="D10" s="52">
        <f>C10/'Crop Comparison'!I4</f>
        <v>5.8255799999999995</v>
      </c>
      <c r="E10" s="180">
        <f>'Crop Comparison'!I63</f>
        <v>3001.32</v>
      </c>
      <c r="F10" s="51">
        <f>E10/'Crop Comparison'!I4</f>
        <v>6.0026400000000004</v>
      </c>
      <c r="G10" s="59"/>
      <c r="H10" s="53">
        <f>'Crop Comparison'!I57</f>
        <v>1187.21</v>
      </c>
      <c r="I10" s="51">
        <f>H10/'Crop Comparison'!I4</f>
        <v>2.3744200000000002</v>
      </c>
      <c r="J10" s="181">
        <f>'Crop Comparison'!I64</f>
        <v>1098.6799999999998</v>
      </c>
      <c r="K10" s="118">
        <f>J10/'Crop Comparison'!I4</f>
        <v>2.1973599999999998</v>
      </c>
    </row>
    <row r="11" spans="2:11" ht="18.95" customHeight="1" x14ac:dyDescent="0.25">
      <c r="B11" s="50" t="s">
        <v>172</v>
      </c>
      <c r="C11" s="51">
        <f>'Crop Comparison'!G56</f>
        <v>856.09</v>
      </c>
      <c r="D11" s="52">
        <f>C11/'Crop Comparison'!G5</f>
        <v>0.17121800000000001</v>
      </c>
      <c r="E11" s="51">
        <f>'Crop Comparison'!G63</f>
        <v>979.42000000000007</v>
      </c>
      <c r="F11" s="51">
        <f>E11/'Crop Comparison'!G5</f>
        <v>0.195884</v>
      </c>
      <c r="G11" s="59"/>
      <c r="H11" s="53">
        <f>'Crop Comparison'!G57</f>
        <v>293.90999999999997</v>
      </c>
      <c r="I11" s="51">
        <f>H11/'Crop Comparison'!G5</f>
        <v>5.8781999999999994E-2</v>
      </c>
      <c r="J11" s="53">
        <f>'Crop Comparison'!G64</f>
        <v>170.57999999999993</v>
      </c>
      <c r="K11" s="118">
        <f>J11/'Crop Comparison'!G5</f>
        <v>3.4115999999999987E-2</v>
      </c>
    </row>
    <row r="12" spans="2:11" ht="18.95" customHeight="1" x14ac:dyDescent="0.25">
      <c r="B12" s="55" t="s">
        <v>60</v>
      </c>
      <c r="C12" s="56">
        <f>'Crop Comparison'!F56</f>
        <v>890.80999999999983</v>
      </c>
      <c r="D12" s="57">
        <f>$C$12/'Crop Comparison'!F5</f>
        <v>0.74234166666666657</v>
      </c>
      <c r="E12" s="167">
        <f>'Crop Comparison'!F63</f>
        <v>1029.1299999999999</v>
      </c>
      <c r="F12" s="56">
        <f>E12/'Crop Comparison'!F5</f>
        <v>0.85760833333333319</v>
      </c>
      <c r="G12" s="59"/>
      <c r="H12" s="158">
        <f>'Crop Comparison'!F57</f>
        <v>49.510000000000105</v>
      </c>
      <c r="I12" s="56">
        <f>H12/'Crop Comparison'!F5</f>
        <v>4.1258333333333418E-2</v>
      </c>
      <c r="J12" s="158">
        <f>'Crop Comparison'!F64</f>
        <v>-88.809999999999945</v>
      </c>
      <c r="K12" s="159">
        <f>J12/'Crop Comparison'!F5</f>
        <v>-7.4008333333333287E-2</v>
      </c>
    </row>
    <row r="13" spans="2:11" ht="30" customHeight="1" x14ac:dyDescent="0.55000000000000004">
      <c r="B13" s="187" t="s">
        <v>53</v>
      </c>
      <c r="C13" s="187"/>
      <c r="D13" s="187"/>
      <c r="E13" s="187"/>
      <c r="F13" s="187"/>
      <c r="G13" s="152"/>
      <c r="H13" s="153"/>
      <c r="I13" s="151"/>
      <c r="J13" s="154" t="s">
        <v>207</v>
      </c>
      <c r="K13" s="153">
        <f>IF(C26=0,0,J26/($C$26+$C$19))</f>
        <v>140.83674999999999</v>
      </c>
    </row>
    <row r="14" spans="2:11" ht="24" customHeight="1" x14ac:dyDescent="0.55000000000000004">
      <c r="B14" s="187"/>
      <c r="C14" s="187"/>
      <c r="D14" s="187"/>
      <c r="E14" s="187"/>
      <c r="F14" s="187"/>
      <c r="G14" s="152"/>
      <c r="H14" s="153"/>
      <c r="I14" s="151"/>
      <c r="J14" s="154" t="s">
        <v>206</v>
      </c>
      <c r="K14" s="153">
        <f>IF(C26=0,0,I26/($C$26+$C$19))</f>
        <v>0</v>
      </c>
    </row>
    <row r="15" spans="2:11" ht="27.4" customHeight="1" x14ac:dyDescent="0.55000000000000004">
      <c r="B15" s="155" t="s">
        <v>201</v>
      </c>
      <c r="C15" s="152"/>
      <c r="D15" s="152"/>
      <c r="E15" s="152"/>
      <c r="F15" s="152"/>
      <c r="G15" s="152"/>
      <c r="H15" s="153"/>
      <c r="I15" s="151"/>
      <c r="J15" s="154" t="s">
        <v>200</v>
      </c>
      <c r="K15" s="137">
        <v>0.15</v>
      </c>
    </row>
    <row r="16" spans="2:11" ht="99" customHeight="1" thickBot="1" x14ac:dyDescent="0.3">
      <c r="B16" s="20"/>
      <c r="C16" s="20"/>
      <c r="D16" s="49" t="s">
        <v>54</v>
      </c>
      <c r="E16" s="49" t="s">
        <v>55</v>
      </c>
      <c r="F16" s="134"/>
      <c r="G16" s="49" t="s">
        <v>202</v>
      </c>
      <c r="H16" s="49" t="s">
        <v>203</v>
      </c>
      <c r="I16" s="49" t="s">
        <v>222</v>
      </c>
      <c r="J16" s="49" t="s">
        <v>204</v>
      </c>
      <c r="K16" s="43" t="s">
        <v>205</v>
      </c>
    </row>
    <row r="17" spans="2:11" ht="18.399999999999999" customHeight="1" x14ac:dyDescent="0.25">
      <c r="B17" s="58" t="s">
        <v>48</v>
      </c>
      <c r="C17" s="60">
        <v>500</v>
      </c>
      <c r="D17" s="52">
        <f>C17*C5</f>
        <v>284835.00000000006</v>
      </c>
      <c r="E17" s="54">
        <f>C17*E5</f>
        <v>312170</v>
      </c>
      <c r="F17" s="128"/>
      <c r="G17" s="52">
        <f>C17*H5</f>
        <v>9164.9999999999636</v>
      </c>
      <c r="H17" s="54">
        <f>C17*J5</f>
        <v>-18170.000000000015</v>
      </c>
      <c r="I17" s="138">
        <v>0</v>
      </c>
      <c r="J17" s="132">
        <f>C17*$K$13</f>
        <v>70418.375</v>
      </c>
      <c r="K17" s="119">
        <f>H17+I17-J17</f>
        <v>-88588.375000000015</v>
      </c>
    </row>
    <row r="18" spans="2:11" ht="18.399999999999999" customHeight="1" x14ac:dyDescent="0.25">
      <c r="B18" s="58" t="s">
        <v>49</v>
      </c>
      <c r="C18" s="61">
        <v>500</v>
      </c>
      <c r="D18" s="52">
        <f>C18*C6</f>
        <v>186925</v>
      </c>
      <c r="E18" s="54">
        <f>C18*E6</f>
        <v>214260.00000000003</v>
      </c>
      <c r="F18" s="128"/>
      <c r="G18" s="52">
        <f>C18*H6</f>
        <v>80074.999999999985</v>
      </c>
      <c r="H18" s="54">
        <f>C18*J6</f>
        <v>52739.999999999978</v>
      </c>
      <c r="I18" s="139">
        <v>0</v>
      </c>
      <c r="J18" s="132">
        <f>C18*$K$13</f>
        <v>70418.375</v>
      </c>
      <c r="K18" s="119">
        <f t="shared" ref="K18:K25" si="0">H18+I18-J18</f>
        <v>-17678.375000000022</v>
      </c>
    </row>
    <row r="19" spans="2:11" ht="18.399999999999999" customHeight="1" x14ac:dyDescent="0.25">
      <c r="B19" s="58" t="s">
        <v>52</v>
      </c>
      <c r="C19" s="61">
        <v>0</v>
      </c>
      <c r="D19" s="52">
        <f>$C$19*$C$7-(('Crop Comparison'!D50+'Crop Comparison'!O61)*C19)</f>
        <v>0</v>
      </c>
      <c r="E19" s="54">
        <f>$C$19*$E$7-(('Crop Comparison'!D50+'Crop Comparison'!O61)*C19)</f>
        <v>0</v>
      </c>
      <c r="F19" s="128"/>
      <c r="G19" s="52">
        <f>$C$19*$H$7+(('Crop Comparison'!D50+'Crop Comparison'!O61)*C19)</f>
        <v>0</v>
      </c>
      <c r="H19" s="54">
        <f>C19*J7</f>
        <v>0</v>
      </c>
      <c r="I19" s="139">
        <v>0</v>
      </c>
      <c r="J19" s="132">
        <f t="shared" ref="J19:J25" si="1">C19*$K$13</f>
        <v>0</v>
      </c>
      <c r="K19" s="119">
        <f t="shared" si="0"/>
        <v>0</v>
      </c>
    </row>
    <row r="20" spans="2:11" ht="18.399999999999999" customHeight="1" x14ac:dyDescent="0.25">
      <c r="B20" s="58" t="s">
        <v>61</v>
      </c>
      <c r="C20" s="61">
        <v>0</v>
      </c>
      <c r="D20" s="52">
        <f>$C$20*$C$7</f>
        <v>0</v>
      </c>
      <c r="E20" s="54">
        <f>$C$20*$E$7</f>
        <v>0</v>
      </c>
      <c r="F20" s="128"/>
      <c r="G20" s="52">
        <f>$C$20*$H$7</f>
        <v>0</v>
      </c>
      <c r="H20" s="54">
        <f>C20*J7</f>
        <v>0</v>
      </c>
      <c r="I20" s="139">
        <v>0</v>
      </c>
      <c r="J20" s="132">
        <f t="shared" si="1"/>
        <v>0</v>
      </c>
      <c r="K20" s="119">
        <f t="shared" si="0"/>
        <v>0</v>
      </c>
    </row>
    <row r="21" spans="2:11" ht="18.399999999999999" customHeight="1" x14ac:dyDescent="0.25">
      <c r="B21" s="58" t="s">
        <v>50</v>
      </c>
      <c r="C21" s="61">
        <v>0</v>
      </c>
      <c r="D21" s="52">
        <f>C21*C8</f>
        <v>0</v>
      </c>
      <c r="E21" s="54">
        <f>C21*E8</f>
        <v>0</v>
      </c>
      <c r="F21" s="128"/>
      <c r="G21" s="52">
        <f>C21*H8</f>
        <v>0</v>
      </c>
      <c r="H21" s="54">
        <f>C21*J8</f>
        <v>0</v>
      </c>
      <c r="I21" s="139">
        <v>0</v>
      </c>
      <c r="J21" s="132">
        <f t="shared" si="1"/>
        <v>0</v>
      </c>
      <c r="K21" s="119">
        <f t="shared" si="0"/>
        <v>0</v>
      </c>
    </row>
    <row r="22" spans="2:11" ht="18.399999999999999" customHeight="1" x14ac:dyDescent="0.25">
      <c r="B22" s="58" t="s">
        <v>170</v>
      </c>
      <c r="C22" s="116">
        <v>0</v>
      </c>
      <c r="D22" s="119">
        <f>C11*$C$22</f>
        <v>0</v>
      </c>
      <c r="E22" s="119">
        <f>E11*$C$22</f>
        <v>0</v>
      </c>
      <c r="F22" s="128"/>
      <c r="G22" s="52">
        <f>C22*H11</f>
        <v>0</v>
      </c>
      <c r="H22" s="54">
        <f>C22*J11</f>
        <v>0</v>
      </c>
      <c r="I22" s="139">
        <v>0</v>
      </c>
      <c r="J22" s="132">
        <f t="shared" si="1"/>
        <v>0</v>
      </c>
      <c r="K22" s="119">
        <f t="shared" si="0"/>
        <v>0</v>
      </c>
    </row>
    <row r="23" spans="2:11" ht="18.399999999999999" customHeight="1" x14ac:dyDescent="0.25">
      <c r="B23" s="58" t="s">
        <v>171</v>
      </c>
      <c r="C23" s="116">
        <v>0</v>
      </c>
      <c r="D23" s="52">
        <f>C23*C9</f>
        <v>0</v>
      </c>
      <c r="E23" s="54">
        <f>C23*E9</f>
        <v>0</v>
      </c>
      <c r="F23" s="128"/>
      <c r="G23" s="52">
        <f>C23*H9</f>
        <v>0</v>
      </c>
      <c r="H23" s="54">
        <f>J9*C23</f>
        <v>0</v>
      </c>
      <c r="I23" s="139">
        <v>0</v>
      </c>
      <c r="J23" s="132">
        <f t="shared" si="1"/>
        <v>0</v>
      </c>
      <c r="K23" s="119">
        <f>H23+I23-J23</f>
        <v>0</v>
      </c>
    </row>
    <row r="24" spans="2:11" ht="18.399999999999999" customHeight="1" x14ac:dyDescent="0.25">
      <c r="B24" s="58" t="s">
        <v>224</v>
      </c>
      <c r="C24" s="116">
        <v>200</v>
      </c>
      <c r="D24" s="52">
        <f>C24*C10</f>
        <v>582558</v>
      </c>
      <c r="E24" s="54">
        <f>C24*E10</f>
        <v>600264</v>
      </c>
      <c r="F24" s="128"/>
      <c r="G24" s="52">
        <f>H10*C24</f>
        <v>237442</v>
      </c>
      <c r="H24" s="54">
        <f>J10*C24</f>
        <v>219735.99999999997</v>
      </c>
      <c r="I24" s="139">
        <v>0</v>
      </c>
      <c r="J24" s="132">
        <f t="shared" si="1"/>
        <v>28167.35</v>
      </c>
      <c r="K24" s="119">
        <f>H24+I24-J24</f>
        <v>191568.64999999997</v>
      </c>
    </row>
    <row r="25" spans="2:11" ht="18.399999999999999" customHeight="1" thickBot="1" x14ac:dyDescent="0.3">
      <c r="B25" s="58" t="s">
        <v>51</v>
      </c>
      <c r="C25" s="125">
        <v>0</v>
      </c>
      <c r="D25" s="126">
        <f>C25*C12</f>
        <v>0</v>
      </c>
      <c r="E25" s="124">
        <f>C25*E12</f>
        <v>0</v>
      </c>
      <c r="F25" s="129"/>
      <c r="G25" s="127">
        <f>C25*H12</f>
        <v>0</v>
      </c>
      <c r="H25" s="124">
        <f>C25*J12</f>
        <v>0</v>
      </c>
      <c r="I25" s="140">
        <v>0</v>
      </c>
      <c r="J25" s="133">
        <f t="shared" si="1"/>
        <v>0</v>
      </c>
      <c r="K25" s="135">
        <f t="shared" si="0"/>
        <v>0</v>
      </c>
    </row>
    <row r="26" spans="2:11" ht="19.149999999999999" customHeight="1" thickTop="1" x14ac:dyDescent="0.25">
      <c r="B26" s="58" t="s">
        <v>199</v>
      </c>
      <c r="C26" s="130">
        <f>SUM(C17:C18,C20:C25)</f>
        <v>1200</v>
      </c>
      <c r="D26" s="54">
        <f>SUM(D17:D25)</f>
        <v>1054318</v>
      </c>
      <c r="E26" s="54">
        <f>SUM(E17:E25)</f>
        <v>1126694</v>
      </c>
      <c r="G26" s="54">
        <f>SUM(G17:G25)</f>
        <v>326681.99999999994</v>
      </c>
      <c r="H26" s="54">
        <f>SUM(G17:G25)</f>
        <v>326681.99999999994</v>
      </c>
      <c r="I26" s="54">
        <f>SUM(I17:I25)</f>
        <v>0</v>
      </c>
      <c r="J26" s="54">
        <f>E26*K15</f>
        <v>169004.1</v>
      </c>
      <c r="K26" s="136">
        <f>SUM(K17:K25)</f>
        <v>85301.899999999936</v>
      </c>
    </row>
    <row r="30" spans="2:11" x14ac:dyDescent="0.2">
      <c r="C30" s="45"/>
      <c r="D30" s="46"/>
    </row>
    <row r="31" spans="2:11" x14ac:dyDescent="0.2">
      <c r="C31" s="45"/>
      <c r="D31" s="47"/>
    </row>
    <row r="35" spans="2:11" x14ac:dyDescent="0.2">
      <c r="B35" s="44"/>
      <c r="C35" s="44"/>
      <c r="D35" s="44"/>
      <c r="E35" s="44"/>
      <c r="F35" s="44"/>
      <c r="G35" s="44"/>
      <c r="H35" s="44"/>
      <c r="I35" s="44"/>
      <c r="J35" s="44"/>
      <c r="K35" s="44"/>
    </row>
  </sheetData>
  <mergeCells count="1">
    <mergeCell ref="B13:F1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F16" sqref="F16"/>
    </sheetView>
  </sheetViews>
  <sheetFormatPr defaultRowHeight="15" x14ac:dyDescent="0.25"/>
  <sheetData>
    <row r="1" spans="1:9" ht="27" thickTop="1" x14ac:dyDescent="0.25">
      <c r="A1" s="3" t="s">
        <v>12</v>
      </c>
      <c r="B1" s="4" t="s">
        <v>0</v>
      </c>
      <c r="C1" s="4" t="s">
        <v>1</v>
      </c>
      <c r="D1" s="4" t="s">
        <v>2</v>
      </c>
      <c r="E1" s="4" t="s">
        <v>13</v>
      </c>
      <c r="F1" s="4" t="s">
        <v>167</v>
      </c>
      <c r="G1" s="6" t="s">
        <v>168</v>
      </c>
      <c r="H1" s="171" t="s">
        <v>224</v>
      </c>
      <c r="I1" s="14" t="s">
        <v>21</v>
      </c>
    </row>
    <row r="2" spans="1:9" x14ac:dyDescent="0.25">
      <c r="A2" s="5"/>
      <c r="B2" s="6" t="s">
        <v>14</v>
      </c>
      <c r="C2" s="6" t="s">
        <v>14</v>
      </c>
      <c r="D2" s="6" t="s">
        <v>14</v>
      </c>
      <c r="E2" s="6" t="s">
        <v>14</v>
      </c>
      <c r="F2" s="6" t="s">
        <v>169</v>
      </c>
      <c r="G2" s="6" t="s">
        <v>169</v>
      </c>
      <c r="H2" s="6" t="s">
        <v>14</v>
      </c>
      <c r="I2" s="17" t="s">
        <v>14</v>
      </c>
    </row>
    <row r="3" spans="1:9" x14ac:dyDescent="0.25">
      <c r="A3" s="5">
        <v>2010</v>
      </c>
      <c r="B3" s="172">
        <v>91</v>
      </c>
      <c r="C3" s="172">
        <v>26</v>
      </c>
      <c r="D3" s="172">
        <v>38</v>
      </c>
      <c r="E3" s="172">
        <v>838</v>
      </c>
      <c r="F3" s="172">
        <v>2700</v>
      </c>
      <c r="G3" s="172">
        <v>2095</v>
      </c>
      <c r="H3">
        <f>H19/$H$18</f>
        <v>360</v>
      </c>
      <c r="I3" s="15"/>
    </row>
    <row r="4" spans="1:9" x14ac:dyDescent="0.25">
      <c r="A4" s="5">
        <v>2011</v>
      </c>
      <c r="B4" s="172">
        <v>84</v>
      </c>
      <c r="C4" s="172">
        <v>30.5</v>
      </c>
      <c r="D4" s="172">
        <v>68</v>
      </c>
      <c r="E4" s="172">
        <v>616</v>
      </c>
      <c r="F4" s="172">
        <v>3600</v>
      </c>
      <c r="G4" s="172">
        <v>1550</v>
      </c>
      <c r="H4">
        <f t="shared" ref="H4:H12" si="0">H20/$H$18</f>
        <v>400</v>
      </c>
      <c r="I4" s="15"/>
    </row>
    <row r="5" spans="1:9" x14ac:dyDescent="0.25">
      <c r="A5" s="5">
        <v>2012</v>
      </c>
      <c r="B5" s="172">
        <v>117</v>
      </c>
      <c r="C5" s="172">
        <v>39.5</v>
      </c>
      <c r="D5" s="172">
        <v>57</v>
      </c>
      <c r="E5" s="172">
        <v>1014</v>
      </c>
      <c r="F5" s="172">
        <v>4030</v>
      </c>
      <c r="G5" s="172">
        <v>2295</v>
      </c>
      <c r="H5">
        <f t="shared" si="0"/>
        <v>400</v>
      </c>
      <c r="I5" s="15"/>
    </row>
    <row r="6" spans="1:9" x14ac:dyDescent="0.25">
      <c r="A6" s="5">
        <v>2013</v>
      </c>
      <c r="B6" s="172">
        <v>142</v>
      </c>
      <c r="C6" s="172">
        <v>33.5</v>
      </c>
      <c r="D6" s="172">
        <v>57</v>
      </c>
      <c r="E6" s="172">
        <v>799</v>
      </c>
      <c r="F6" s="172">
        <v>3900</v>
      </c>
      <c r="G6" s="172">
        <v>1994</v>
      </c>
      <c r="H6">
        <f t="shared" si="0"/>
        <v>400</v>
      </c>
      <c r="I6" s="15"/>
    </row>
    <row r="7" spans="1:9" x14ac:dyDescent="0.25">
      <c r="A7" s="5">
        <v>2014</v>
      </c>
      <c r="B7" s="172">
        <v>132</v>
      </c>
      <c r="C7" s="172">
        <v>40</v>
      </c>
      <c r="D7" s="172">
        <v>58</v>
      </c>
      <c r="E7" s="173">
        <v>1038</v>
      </c>
      <c r="F7" s="173">
        <v>4320</v>
      </c>
      <c r="G7" s="173">
        <v>2347</v>
      </c>
      <c r="H7">
        <f t="shared" si="0"/>
        <v>440</v>
      </c>
      <c r="I7" s="15"/>
    </row>
    <row r="8" spans="1:9" x14ac:dyDescent="0.25">
      <c r="A8" s="5">
        <v>2015</v>
      </c>
      <c r="B8" s="174">
        <v>113</v>
      </c>
      <c r="C8" s="174">
        <v>32</v>
      </c>
      <c r="D8" s="174">
        <v>53</v>
      </c>
      <c r="E8" s="173">
        <v>713</v>
      </c>
      <c r="F8" s="173">
        <v>3480</v>
      </c>
      <c r="G8" s="175">
        <v>2198</v>
      </c>
      <c r="H8">
        <f t="shared" si="0"/>
        <v>380</v>
      </c>
      <c r="I8" s="15"/>
    </row>
    <row r="9" spans="1:9" x14ac:dyDescent="0.25">
      <c r="A9" s="5">
        <v>2016</v>
      </c>
      <c r="B9" s="174">
        <v>129</v>
      </c>
      <c r="C9" s="174">
        <v>35</v>
      </c>
      <c r="D9" s="174">
        <v>41</v>
      </c>
      <c r="E9" s="173">
        <v>646</v>
      </c>
      <c r="F9" s="173">
        <v>3530</v>
      </c>
      <c r="G9" s="175">
        <v>1999</v>
      </c>
      <c r="H9">
        <f t="shared" si="0"/>
        <v>360</v>
      </c>
      <c r="I9" s="15">
        <v>55</v>
      </c>
    </row>
    <row r="10" spans="1:9" x14ac:dyDescent="0.25">
      <c r="A10" s="5">
        <v>2017</v>
      </c>
      <c r="B10" s="174">
        <v>142</v>
      </c>
      <c r="C10" s="174">
        <v>40</v>
      </c>
      <c r="D10" s="174">
        <v>55</v>
      </c>
      <c r="E10" s="173">
        <v>961</v>
      </c>
      <c r="F10" s="173">
        <v>4100</v>
      </c>
      <c r="G10" s="175">
        <v>2197</v>
      </c>
      <c r="H10">
        <f t="shared" si="0"/>
        <v>440</v>
      </c>
      <c r="I10" s="15">
        <v>55</v>
      </c>
    </row>
    <row r="11" spans="1:9" x14ac:dyDescent="0.25">
      <c r="A11" s="5">
        <v>2018</v>
      </c>
      <c r="B11" s="174">
        <v>113</v>
      </c>
      <c r="C11" s="174">
        <v>33</v>
      </c>
      <c r="D11" s="174">
        <v>57</v>
      </c>
      <c r="E11" s="175">
        <v>812</v>
      </c>
      <c r="F11" s="175">
        <v>3870</v>
      </c>
      <c r="G11" s="175">
        <v>1649</v>
      </c>
      <c r="H11">
        <f t="shared" si="0"/>
        <v>280</v>
      </c>
      <c r="I11" s="15">
        <v>60</v>
      </c>
    </row>
    <row r="12" spans="1:9" ht="15.75" thickBot="1" x14ac:dyDescent="0.3">
      <c r="A12" s="5">
        <v>2019</v>
      </c>
      <c r="B12" s="174">
        <v>107</v>
      </c>
      <c r="C12" s="174">
        <v>36</v>
      </c>
      <c r="D12" s="174">
        <v>56</v>
      </c>
      <c r="E12" s="175">
        <v>931</v>
      </c>
      <c r="F12" s="175">
        <v>4400</v>
      </c>
      <c r="G12" s="175">
        <v>1799</v>
      </c>
      <c r="H12">
        <f t="shared" si="0"/>
        <v>400</v>
      </c>
      <c r="I12" s="15"/>
    </row>
    <row r="13" spans="1:9" ht="16.5" thickTop="1" thickBot="1" x14ac:dyDescent="0.3">
      <c r="A13" s="7" t="s">
        <v>16</v>
      </c>
      <c r="B13" s="1">
        <f t="shared" ref="B13:H13" si="1">AVERAGE(B10:B12)</f>
        <v>120.66666666666667</v>
      </c>
      <c r="C13" s="1">
        <f t="shared" si="1"/>
        <v>36.333333333333336</v>
      </c>
      <c r="D13" s="1">
        <f t="shared" si="1"/>
        <v>56</v>
      </c>
      <c r="E13" s="1">
        <f t="shared" si="1"/>
        <v>901.33333333333337</v>
      </c>
      <c r="F13" s="1">
        <f t="shared" si="1"/>
        <v>4123.333333333333</v>
      </c>
      <c r="G13" s="1">
        <f t="shared" si="1"/>
        <v>1881.6666666666667</v>
      </c>
      <c r="H13" s="1">
        <f t="shared" si="1"/>
        <v>373.33333333333331</v>
      </c>
      <c r="I13" s="114">
        <f>AVERAGE(I9:I11)</f>
        <v>56.666666666666664</v>
      </c>
    </row>
    <row r="14" spans="1:9" ht="16.5" thickTop="1" thickBot="1" x14ac:dyDescent="0.3">
      <c r="A14" s="8" t="s">
        <v>15</v>
      </c>
      <c r="B14" s="2">
        <f t="shared" ref="B14:H14" si="2">AVERAGE(B8:B12)</f>
        <v>120.8</v>
      </c>
      <c r="C14" s="2">
        <f t="shared" si="2"/>
        <v>35.200000000000003</v>
      </c>
      <c r="D14" s="2">
        <f t="shared" si="2"/>
        <v>52.4</v>
      </c>
      <c r="E14" s="2">
        <f t="shared" si="2"/>
        <v>812.6</v>
      </c>
      <c r="F14" s="2">
        <f t="shared" si="2"/>
        <v>3876</v>
      </c>
      <c r="G14" s="2">
        <f t="shared" si="2"/>
        <v>1968.4</v>
      </c>
      <c r="H14" s="2">
        <f t="shared" si="2"/>
        <v>372</v>
      </c>
      <c r="I14" s="18"/>
    </row>
    <row r="15" spans="1:9" ht="15.75" thickTop="1" x14ac:dyDescent="0.25">
      <c r="A15" s="5" t="s">
        <v>17</v>
      </c>
      <c r="B15" s="9">
        <f t="shared" ref="B15:F15" si="3">B13/B14</f>
        <v>0.99889624724061821</v>
      </c>
      <c r="C15" s="9">
        <f t="shared" si="3"/>
        <v>1.0321969696969697</v>
      </c>
      <c r="D15" s="9">
        <f t="shared" si="3"/>
        <v>1.0687022900763359</v>
      </c>
      <c r="E15" s="9">
        <f t="shared" si="3"/>
        <v>1.1091968168020347</v>
      </c>
      <c r="F15" s="9">
        <f t="shared" si="3"/>
        <v>1.0638114895080839</v>
      </c>
      <c r="G15" s="9">
        <f>G13/G14</f>
        <v>0.95593714014766651</v>
      </c>
      <c r="H15" s="9">
        <f>H13/H14</f>
        <v>1.0035842293906809</v>
      </c>
      <c r="I15" s="15"/>
    </row>
    <row r="16" spans="1:9" ht="15.75" thickBot="1" x14ac:dyDescent="0.3">
      <c r="A16" s="10" t="s">
        <v>18</v>
      </c>
      <c r="B16" s="11"/>
      <c r="C16" s="11"/>
      <c r="D16" s="11"/>
      <c r="E16" s="11"/>
      <c r="F16" s="11"/>
      <c r="G16" s="11"/>
      <c r="H16" s="11"/>
      <c r="I16" s="16"/>
    </row>
    <row r="17" spans="7:9" ht="15.75" thickTop="1" x14ac:dyDescent="0.25"/>
    <row r="18" spans="7:9" x14ac:dyDescent="0.25">
      <c r="G18" s="177" t="s">
        <v>232</v>
      </c>
      <c r="H18" s="178">
        <v>50</v>
      </c>
    </row>
    <row r="19" spans="7:9" x14ac:dyDescent="0.25">
      <c r="G19" s="179">
        <v>2010</v>
      </c>
      <c r="H19" s="172">
        <v>18000</v>
      </c>
      <c r="I19" t="s">
        <v>233</v>
      </c>
    </row>
    <row r="20" spans="7:9" x14ac:dyDescent="0.25">
      <c r="G20" s="179">
        <v>2011</v>
      </c>
      <c r="H20" s="172">
        <v>20000</v>
      </c>
      <c r="I20" t="s">
        <v>233</v>
      </c>
    </row>
    <row r="21" spans="7:9" x14ac:dyDescent="0.25">
      <c r="G21" s="179">
        <v>2012</v>
      </c>
      <c r="H21" s="172">
        <v>20000</v>
      </c>
      <c r="I21" t="s">
        <v>233</v>
      </c>
    </row>
    <row r="22" spans="7:9" x14ac:dyDescent="0.25">
      <c r="G22" s="179">
        <v>2013</v>
      </c>
      <c r="H22" s="172">
        <v>20000</v>
      </c>
      <c r="I22" t="s">
        <v>233</v>
      </c>
    </row>
    <row r="23" spans="7:9" x14ac:dyDescent="0.25">
      <c r="G23" s="179">
        <v>2014</v>
      </c>
      <c r="H23" s="173">
        <v>22000</v>
      </c>
      <c r="I23" t="s">
        <v>233</v>
      </c>
    </row>
    <row r="24" spans="7:9" x14ac:dyDescent="0.25">
      <c r="G24" s="179">
        <v>2015</v>
      </c>
      <c r="H24" s="176">
        <v>19000</v>
      </c>
      <c r="I24" t="s">
        <v>233</v>
      </c>
    </row>
    <row r="25" spans="7:9" x14ac:dyDescent="0.25">
      <c r="G25" s="179">
        <v>2016</v>
      </c>
      <c r="H25" s="176">
        <v>18000</v>
      </c>
      <c r="I25" t="s">
        <v>233</v>
      </c>
    </row>
    <row r="26" spans="7:9" x14ac:dyDescent="0.25">
      <c r="G26" s="179">
        <v>2017</v>
      </c>
      <c r="H26" s="176">
        <v>22000</v>
      </c>
      <c r="I26" t="s">
        <v>233</v>
      </c>
    </row>
    <row r="27" spans="7:9" x14ac:dyDescent="0.25">
      <c r="G27" s="179">
        <v>2018</v>
      </c>
      <c r="H27" s="176">
        <v>14000</v>
      </c>
      <c r="I27" t="s">
        <v>233</v>
      </c>
    </row>
    <row r="28" spans="7:9" x14ac:dyDescent="0.25">
      <c r="G28" s="179">
        <v>2019</v>
      </c>
      <c r="H28" s="176">
        <v>20000</v>
      </c>
      <c r="I28" t="s">
        <v>233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opLeftCell="A40" workbookViewId="0">
      <selection activeCell="I83" sqref="I83:I85"/>
    </sheetView>
  </sheetViews>
  <sheetFormatPr defaultRowHeight="15" x14ac:dyDescent="0.25"/>
  <cols>
    <col min="1" max="1" width="3.28515625" style="109" customWidth="1"/>
    <col min="3" max="3" width="20.28515625" customWidth="1"/>
    <col min="7" max="7" width="3.140625" style="109" customWidth="1"/>
    <col min="9" max="9" width="15.28515625" customWidth="1"/>
    <col min="14" max="14" width="3.42578125" style="109" customWidth="1"/>
  </cols>
  <sheetData>
    <row r="1" spans="2:13" ht="23.25" x14ac:dyDescent="0.35">
      <c r="B1" s="188" t="s">
        <v>195</v>
      </c>
      <c r="C1" s="188"/>
      <c r="D1" s="188"/>
      <c r="E1" s="188"/>
      <c r="F1" s="188"/>
      <c r="G1" s="188"/>
      <c r="H1" s="188"/>
      <c r="I1" s="188"/>
      <c r="J1" s="188"/>
      <c r="K1" s="188"/>
      <c r="L1" s="188"/>
      <c r="M1" s="188"/>
    </row>
    <row r="2" spans="2:13" ht="21" x14ac:dyDescent="0.35">
      <c r="B2" s="190" t="s">
        <v>73</v>
      </c>
      <c r="C2" s="190"/>
      <c r="D2" s="190"/>
      <c r="E2" s="190"/>
      <c r="F2" s="190"/>
      <c r="H2" s="190" t="s">
        <v>165</v>
      </c>
      <c r="I2" s="190"/>
      <c r="J2" s="190"/>
      <c r="K2" s="190"/>
      <c r="L2" s="190"/>
      <c r="M2" s="190"/>
    </row>
    <row r="3" spans="2:13" ht="18.75" x14ac:dyDescent="0.3">
      <c r="B3" s="191" t="s">
        <v>74</v>
      </c>
      <c r="C3" s="191"/>
      <c r="D3" s="191"/>
      <c r="E3" s="74" t="s">
        <v>196</v>
      </c>
      <c r="F3" s="75"/>
      <c r="H3" s="191" t="s">
        <v>74</v>
      </c>
      <c r="I3" s="191"/>
      <c r="J3" s="191"/>
      <c r="K3" s="74" t="s">
        <v>196</v>
      </c>
      <c r="L3" s="75"/>
      <c r="M3" s="76"/>
    </row>
    <row r="4" spans="2:13" x14ac:dyDescent="0.25">
      <c r="B4" s="76"/>
      <c r="C4" s="77" t="s">
        <v>75</v>
      </c>
      <c r="D4" s="78">
        <v>0</v>
      </c>
      <c r="E4" s="78"/>
      <c r="F4" s="75" t="s">
        <v>76</v>
      </c>
      <c r="H4" s="76"/>
      <c r="I4" s="77" t="s">
        <v>75</v>
      </c>
      <c r="J4" s="78">
        <v>138.24</v>
      </c>
      <c r="K4" s="78"/>
      <c r="L4" s="75" t="s">
        <v>76</v>
      </c>
      <c r="M4" s="76"/>
    </row>
    <row r="5" spans="2:13" x14ac:dyDescent="0.25">
      <c r="B5" s="76"/>
      <c r="C5" s="77" t="s">
        <v>77</v>
      </c>
      <c r="D5" s="78">
        <v>0</v>
      </c>
      <c r="E5" s="78"/>
      <c r="F5" s="79">
        <f>AVERAGE(D4:D9)</f>
        <v>0</v>
      </c>
      <c r="H5" s="76"/>
      <c r="I5" s="77" t="s">
        <v>77</v>
      </c>
      <c r="J5" s="78">
        <v>184.06666666666669</v>
      </c>
      <c r="K5" s="78"/>
      <c r="L5" s="79">
        <f>AVERAGE(J4:J9)</f>
        <v>144.20388888888888</v>
      </c>
      <c r="M5" s="76"/>
    </row>
    <row r="6" spans="2:13" x14ac:dyDescent="0.25">
      <c r="B6" s="76"/>
      <c r="C6" s="77" t="s">
        <v>78</v>
      </c>
      <c r="D6" s="78">
        <v>0</v>
      </c>
      <c r="E6" s="78"/>
      <c r="F6" s="75" t="s">
        <v>79</v>
      </c>
      <c r="H6" s="76"/>
      <c r="I6" s="77" t="s">
        <v>78</v>
      </c>
      <c r="J6" s="78">
        <v>141.66666666666666</v>
      </c>
      <c r="K6" s="78"/>
      <c r="L6" s="75" t="s">
        <v>79</v>
      </c>
      <c r="M6" s="76"/>
    </row>
    <row r="7" spans="2:13" x14ac:dyDescent="0.25">
      <c r="B7" s="76"/>
      <c r="C7" s="77" t="s">
        <v>80</v>
      </c>
      <c r="D7" s="78">
        <v>0</v>
      </c>
      <c r="E7" s="78"/>
      <c r="F7" s="79">
        <f>MEDIAN(D4:D9)</f>
        <v>0</v>
      </c>
      <c r="H7" s="76"/>
      <c r="I7" s="77" t="s">
        <v>80</v>
      </c>
      <c r="J7" s="78">
        <v>167.60000000000002</v>
      </c>
      <c r="K7" s="78"/>
      <c r="L7" s="79">
        <f>MEDIAN(J4:J9)</f>
        <v>139.95333333333332</v>
      </c>
      <c r="M7" s="76"/>
    </row>
    <row r="8" spans="2:13" x14ac:dyDescent="0.25">
      <c r="B8" s="76"/>
      <c r="C8" s="77" t="s">
        <v>81</v>
      </c>
      <c r="D8" s="78">
        <v>0</v>
      </c>
      <c r="E8" s="78"/>
      <c r="F8" s="75" t="s">
        <v>82</v>
      </c>
      <c r="H8" s="76"/>
      <c r="I8" s="77" t="s">
        <v>81</v>
      </c>
      <c r="J8" s="78">
        <v>111.5</v>
      </c>
      <c r="K8" s="78"/>
      <c r="L8" s="75" t="s">
        <v>82</v>
      </c>
      <c r="M8" s="76"/>
    </row>
    <row r="9" spans="2:13" x14ac:dyDescent="0.25">
      <c r="B9" s="76"/>
      <c r="C9" s="77" t="s">
        <v>83</v>
      </c>
      <c r="D9" s="78">
        <v>0</v>
      </c>
      <c r="E9" s="78"/>
      <c r="F9" s="79">
        <f>(MAX(D4:D9))-(MIN(D4:D9))</f>
        <v>0</v>
      </c>
      <c r="H9" s="76"/>
      <c r="I9" s="77" t="s">
        <v>83</v>
      </c>
      <c r="J9" s="78">
        <v>122.14999999999999</v>
      </c>
      <c r="K9" s="78"/>
      <c r="L9" s="79">
        <f>(MAX(J4:J9))-(MIN(J4:J9))</f>
        <v>72.566666666666691</v>
      </c>
      <c r="M9" s="76"/>
    </row>
    <row r="10" spans="2:13" ht="18.75" x14ac:dyDescent="0.3">
      <c r="B10" s="192" t="s">
        <v>84</v>
      </c>
      <c r="C10" s="192"/>
      <c r="D10" s="192"/>
      <c r="E10" s="80" t="s">
        <v>196</v>
      </c>
      <c r="F10" s="81"/>
      <c r="H10" s="192" t="s">
        <v>84</v>
      </c>
      <c r="I10" s="192"/>
      <c r="J10" s="192"/>
      <c r="K10" s="80" t="s">
        <v>196</v>
      </c>
      <c r="L10" s="81"/>
      <c r="M10" s="84"/>
    </row>
    <row r="11" spans="2:13" x14ac:dyDescent="0.25">
      <c r="B11" s="82"/>
      <c r="C11" s="83" t="s">
        <v>85</v>
      </c>
      <c r="D11" s="84">
        <v>35.72</v>
      </c>
      <c r="E11" s="84"/>
      <c r="F11" s="85" t="s">
        <v>76</v>
      </c>
      <c r="H11" s="82"/>
      <c r="I11" s="83" t="s">
        <v>85</v>
      </c>
      <c r="J11" s="84">
        <v>128.07500000000002</v>
      </c>
      <c r="K11" s="84"/>
      <c r="L11" s="85" t="s">
        <v>76</v>
      </c>
      <c r="M11" s="82"/>
    </row>
    <row r="12" spans="2:13" x14ac:dyDescent="0.25">
      <c r="B12" s="82"/>
      <c r="C12" s="83" t="s">
        <v>86</v>
      </c>
      <c r="D12" s="84">
        <v>40.299999999999997</v>
      </c>
      <c r="E12" s="84"/>
      <c r="F12" s="81">
        <f>AVERAGE(D11:D46)</f>
        <v>33.125</v>
      </c>
      <c r="H12" s="82"/>
      <c r="I12" s="83" t="s">
        <v>86</v>
      </c>
      <c r="J12" s="84">
        <v>131</v>
      </c>
      <c r="K12" s="84"/>
      <c r="L12" s="81">
        <f>AVERAGE(J11:J42)</f>
        <v>116.75890625</v>
      </c>
      <c r="M12" s="82"/>
    </row>
    <row r="13" spans="2:13" x14ac:dyDescent="0.25">
      <c r="B13" s="82"/>
      <c r="C13" s="83" t="s">
        <v>87</v>
      </c>
      <c r="D13" s="84">
        <v>31.13</v>
      </c>
      <c r="E13" s="84"/>
      <c r="F13" s="85" t="s">
        <v>79</v>
      </c>
      <c r="H13" s="82"/>
      <c r="I13" s="83" t="s">
        <v>87</v>
      </c>
      <c r="J13" s="84">
        <v>107.175</v>
      </c>
      <c r="K13" s="84"/>
      <c r="L13" s="85" t="s">
        <v>79</v>
      </c>
      <c r="M13" s="82"/>
    </row>
    <row r="14" spans="2:13" x14ac:dyDescent="0.25">
      <c r="B14" s="82"/>
      <c r="C14" s="83" t="s">
        <v>88</v>
      </c>
      <c r="D14" s="84">
        <v>36.049999999999997</v>
      </c>
      <c r="E14" s="84"/>
      <c r="F14" s="81">
        <f>MEDIAN(D11:D46)</f>
        <v>33.82</v>
      </c>
      <c r="H14" s="82"/>
      <c r="I14" s="83" t="s">
        <v>88</v>
      </c>
      <c r="J14" s="84">
        <v>98.440000000000012</v>
      </c>
      <c r="K14" s="84"/>
      <c r="L14" s="81">
        <f>MEDIAN(J11:J42)</f>
        <v>118.63999999999999</v>
      </c>
      <c r="M14" s="82"/>
    </row>
    <row r="15" spans="2:13" x14ac:dyDescent="0.25">
      <c r="B15" s="82"/>
      <c r="C15" s="83" t="s">
        <v>89</v>
      </c>
      <c r="D15" s="84">
        <v>30.43</v>
      </c>
      <c r="E15" s="84"/>
      <c r="F15" s="85" t="s">
        <v>82</v>
      </c>
      <c r="H15" s="82"/>
      <c r="I15" s="83" t="s">
        <v>89</v>
      </c>
      <c r="J15" s="84">
        <v>119.32000000000001</v>
      </c>
      <c r="K15" s="84"/>
      <c r="L15" s="85" t="s">
        <v>82</v>
      </c>
      <c r="M15" s="82"/>
    </row>
    <row r="16" spans="2:13" x14ac:dyDescent="0.25">
      <c r="B16" s="82"/>
      <c r="C16" s="83" t="s">
        <v>90</v>
      </c>
      <c r="D16" s="84">
        <v>39.93</v>
      </c>
      <c r="E16" s="84"/>
      <c r="F16" s="81">
        <f>(MAX(D11:D46))-(MIN(D11:D46))</f>
        <v>17.150000000000002</v>
      </c>
      <c r="H16" s="82"/>
      <c r="I16" s="83" t="s">
        <v>166</v>
      </c>
      <c r="J16" s="84">
        <v>130.4</v>
      </c>
      <c r="K16" s="84"/>
      <c r="L16" s="81">
        <f>(MAX(J11:J42))-(MIN(J11:J42))</f>
        <v>60.975000000000009</v>
      </c>
      <c r="M16" s="82"/>
    </row>
    <row r="17" spans="2:13" x14ac:dyDescent="0.25">
      <c r="B17" s="82"/>
      <c r="C17" s="83" t="s">
        <v>91</v>
      </c>
      <c r="D17" s="84">
        <v>30.5</v>
      </c>
      <c r="E17" s="84"/>
      <c r="F17" s="85"/>
      <c r="H17" s="82"/>
      <c r="I17" s="83" t="s">
        <v>91</v>
      </c>
      <c r="J17" s="84">
        <v>114.83333333333333</v>
      </c>
      <c r="K17" s="84"/>
      <c r="L17" s="85"/>
      <c r="M17" s="82"/>
    </row>
    <row r="18" spans="2:13" x14ac:dyDescent="0.25">
      <c r="B18" s="86"/>
      <c r="C18" s="87" t="s">
        <v>92</v>
      </c>
      <c r="D18" s="88">
        <v>34.020000000000003</v>
      </c>
      <c r="E18" s="88"/>
      <c r="F18" s="89"/>
      <c r="H18" s="86"/>
      <c r="I18" s="87" t="s">
        <v>92</v>
      </c>
      <c r="J18" s="88">
        <v>125.7</v>
      </c>
      <c r="K18" s="88"/>
      <c r="L18" s="89"/>
      <c r="M18" s="86"/>
    </row>
    <row r="19" spans="2:13" x14ac:dyDescent="0.25">
      <c r="B19" s="82"/>
      <c r="C19" s="83" t="s">
        <v>93</v>
      </c>
      <c r="D19" s="84">
        <v>36.83</v>
      </c>
      <c r="E19" s="84"/>
      <c r="F19" s="85"/>
      <c r="H19" s="82"/>
      <c r="I19" s="83" t="s">
        <v>93</v>
      </c>
      <c r="J19" s="84">
        <v>113.16666666666667</v>
      </c>
      <c r="K19" s="84"/>
      <c r="L19" s="85"/>
      <c r="M19" s="82"/>
    </row>
    <row r="20" spans="2:13" x14ac:dyDescent="0.25">
      <c r="B20" s="82"/>
      <c r="C20" s="83" t="s">
        <v>94</v>
      </c>
      <c r="D20" s="84">
        <v>31.26</v>
      </c>
      <c r="E20" s="84"/>
      <c r="F20" s="85"/>
      <c r="H20" s="82"/>
      <c r="I20" s="83" t="s">
        <v>94</v>
      </c>
      <c r="J20" s="84">
        <v>101.05000000000001</v>
      </c>
      <c r="K20" s="84"/>
      <c r="L20" s="85"/>
      <c r="M20" s="82"/>
    </row>
    <row r="21" spans="2:13" x14ac:dyDescent="0.25">
      <c r="B21" s="82"/>
      <c r="C21" s="83" t="s">
        <v>95</v>
      </c>
      <c r="D21" s="84">
        <v>33.72</v>
      </c>
      <c r="E21" s="84"/>
      <c r="F21" s="85"/>
      <c r="H21" s="82"/>
      <c r="I21" s="83" t="s">
        <v>95</v>
      </c>
      <c r="J21" s="84">
        <v>117.97999999999999</v>
      </c>
      <c r="K21" s="84"/>
      <c r="L21" s="85"/>
      <c r="M21" s="82"/>
    </row>
    <row r="22" spans="2:13" x14ac:dyDescent="0.25">
      <c r="B22" s="82"/>
      <c r="C22" s="83" t="s">
        <v>96</v>
      </c>
      <c r="D22" s="84">
        <v>35.96</v>
      </c>
      <c r="E22" s="84"/>
      <c r="F22" s="82"/>
      <c r="H22" s="82"/>
      <c r="I22" s="83" t="s">
        <v>96</v>
      </c>
      <c r="J22" s="84">
        <v>120.82000000000001</v>
      </c>
      <c r="K22" s="84"/>
      <c r="L22" s="82"/>
      <c r="M22" s="82"/>
    </row>
    <row r="23" spans="2:13" x14ac:dyDescent="0.25">
      <c r="B23" s="82"/>
      <c r="C23" s="83" t="s">
        <v>97</v>
      </c>
      <c r="D23" s="84">
        <v>28.35</v>
      </c>
      <c r="E23" s="84"/>
      <c r="F23" s="82"/>
      <c r="H23" s="82"/>
      <c r="I23" s="83" t="s">
        <v>97</v>
      </c>
      <c r="J23" s="84">
        <v>105.3</v>
      </c>
      <c r="K23" s="84"/>
      <c r="L23" s="82"/>
      <c r="M23" s="82"/>
    </row>
    <row r="24" spans="2:13" x14ac:dyDescent="0.25">
      <c r="B24" s="82"/>
      <c r="C24" s="83" t="s">
        <v>98</v>
      </c>
      <c r="D24" s="84">
        <v>26.02</v>
      </c>
      <c r="E24" s="84"/>
      <c r="F24" s="85"/>
      <c r="H24" s="82"/>
      <c r="I24" s="83" t="s">
        <v>98</v>
      </c>
      <c r="J24" s="84">
        <v>120.60000000000001</v>
      </c>
      <c r="K24" s="84"/>
      <c r="L24" s="85"/>
      <c r="M24" s="82"/>
    </row>
    <row r="25" spans="2:13" x14ac:dyDescent="0.25">
      <c r="B25" s="82"/>
      <c r="C25" s="83" t="s">
        <v>99</v>
      </c>
      <c r="D25" s="84">
        <v>28.6</v>
      </c>
      <c r="E25" s="84"/>
      <c r="F25" s="85"/>
      <c r="H25" s="82"/>
      <c r="I25" s="83" t="s">
        <v>99</v>
      </c>
      <c r="J25" s="84">
        <v>102.6</v>
      </c>
      <c r="K25" s="84"/>
      <c r="L25" s="85"/>
      <c r="M25" s="82"/>
    </row>
    <row r="26" spans="2:13" x14ac:dyDescent="0.25">
      <c r="B26" s="82"/>
      <c r="C26" s="83" t="s">
        <v>100</v>
      </c>
      <c r="D26" s="84">
        <v>34.880000000000003</v>
      </c>
      <c r="E26" s="84"/>
      <c r="F26" s="85"/>
      <c r="H26" s="82"/>
      <c r="I26" s="83" t="s">
        <v>100</v>
      </c>
      <c r="J26" s="84">
        <v>109.72</v>
      </c>
      <c r="K26" s="84"/>
      <c r="L26" s="85"/>
      <c r="M26" s="82"/>
    </row>
    <row r="27" spans="2:13" x14ac:dyDescent="0.25">
      <c r="B27" s="82"/>
      <c r="C27" s="83" t="s">
        <v>101</v>
      </c>
      <c r="D27" s="84">
        <v>38.15</v>
      </c>
      <c r="E27" s="84"/>
      <c r="F27" s="85"/>
      <c r="H27" s="82"/>
      <c r="I27" s="83" t="s">
        <v>101</v>
      </c>
      <c r="J27" s="84">
        <v>125.77500000000001</v>
      </c>
      <c r="K27" s="84"/>
      <c r="L27" s="85"/>
      <c r="M27" s="82"/>
    </row>
    <row r="28" spans="2:13" x14ac:dyDescent="0.25">
      <c r="B28" s="82"/>
      <c r="C28" s="83" t="s">
        <v>102</v>
      </c>
      <c r="D28" s="84">
        <v>31.76</v>
      </c>
      <c r="E28" s="84"/>
      <c r="F28" s="85"/>
      <c r="H28" s="82"/>
      <c r="I28" s="83" t="s">
        <v>102</v>
      </c>
      <c r="J28" s="84">
        <v>91.75</v>
      </c>
      <c r="K28" s="84"/>
      <c r="L28" s="85"/>
      <c r="M28" s="82"/>
    </row>
    <row r="29" spans="2:13" x14ac:dyDescent="0.25">
      <c r="B29" s="82"/>
      <c r="C29" s="83" t="s">
        <v>103</v>
      </c>
      <c r="D29" s="84">
        <v>31.25</v>
      </c>
      <c r="E29" s="84"/>
      <c r="F29" s="85"/>
      <c r="H29" s="82"/>
      <c r="I29" s="83" t="s">
        <v>103</v>
      </c>
      <c r="J29" s="84">
        <v>119.3</v>
      </c>
      <c r="K29" s="84"/>
      <c r="L29" s="85"/>
      <c r="M29" s="82"/>
    </row>
    <row r="30" spans="2:13" x14ac:dyDescent="0.25">
      <c r="B30" s="82"/>
      <c r="C30" s="83" t="s">
        <v>104</v>
      </c>
      <c r="D30" s="84">
        <v>35.96</v>
      </c>
      <c r="E30" s="84"/>
      <c r="F30" s="85"/>
      <c r="H30" s="82"/>
      <c r="I30" s="83" t="s">
        <v>104</v>
      </c>
      <c r="J30" s="84">
        <v>134.47999999999999</v>
      </c>
      <c r="K30" s="84"/>
      <c r="L30" s="85"/>
      <c r="M30" s="82"/>
    </row>
    <row r="31" spans="2:13" x14ac:dyDescent="0.25">
      <c r="B31" s="82"/>
      <c r="C31" s="83" t="s">
        <v>105</v>
      </c>
      <c r="D31" s="84">
        <v>30.66</v>
      </c>
      <c r="E31" s="84"/>
      <c r="F31" s="85"/>
      <c r="H31" s="82"/>
      <c r="I31" s="83" t="s">
        <v>105</v>
      </c>
      <c r="J31" s="84">
        <v>128.57500000000002</v>
      </c>
      <c r="K31" s="84"/>
      <c r="L31" s="85"/>
      <c r="M31" s="82"/>
    </row>
    <row r="32" spans="2:13" x14ac:dyDescent="0.25">
      <c r="B32" s="82"/>
      <c r="C32" s="83" t="s">
        <v>106</v>
      </c>
      <c r="D32" s="84">
        <v>34.119999999999997</v>
      </c>
      <c r="E32" s="84"/>
      <c r="F32" s="85"/>
      <c r="H32" s="82"/>
      <c r="I32" s="83" t="s">
        <v>106</v>
      </c>
      <c r="J32" s="84">
        <v>111.92</v>
      </c>
      <c r="K32" s="84"/>
      <c r="L32" s="85"/>
      <c r="M32" s="82"/>
    </row>
    <row r="33" spans="2:13" x14ac:dyDescent="0.25">
      <c r="B33" s="82"/>
      <c r="C33" s="83" t="s">
        <v>107</v>
      </c>
      <c r="D33" s="84">
        <v>33.92</v>
      </c>
      <c r="E33" s="84"/>
      <c r="F33" s="85"/>
      <c r="H33" s="82"/>
      <c r="I33" s="83" t="s">
        <v>107</v>
      </c>
      <c r="J33" s="84">
        <v>112.43999999999998</v>
      </c>
      <c r="K33" s="84"/>
      <c r="L33" s="85"/>
      <c r="M33" s="82"/>
    </row>
    <row r="34" spans="2:13" x14ac:dyDescent="0.25">
      <c r="B34" s="82"/>
      <c r="C34" s="83" t="s">
        <v>108</v>
      </c>
      <c r="D34" s="84">
        <v>34.92</v>
      </c>
      <c r="E34" s="84"/>
      <c r="F34" s="85"/>
      <c r="H34" s="82"/>
      <c r="I34" s="83" t="s">
        <v>108</v>
      </c>
      <c r="J34" s="84">
        <v>122.4</v>
      </c>
      <c r="K34" s="84"/>
      <c r="L34" s="85"/>
      <c r="M34" s="82"/>
    </row>
    <row r="35" spans="2:13" x14ac:dyDescent="0.25">
      <c r="B35" s="82"/>
      <c r="C35" s="83" t="s">
        <v>109</v>
      </c>
      <c r="D35" s="84">
        <v>27.9</v>
      </c>
      <c r="E35" s="84"/>
      <c r="F35" s="85"/>
      <c r="H35" s="82"/>
      <c r="I35" s="83" t="s">
        <v>109</v>
      </c>
      <c r="J35" s="84">
        <v>86.024999999999991</v>
      </c>
      <c r="K35" s="84"/>
      <c r="L35" s="85"/>
      <c r="M35" s="82"/>
    </row>
    <row r="36" spans="2:13" x14ac:dyDescent="0.25">
      <c r="B36" s="82"/>
      <c r="C36" s="83" t="s">
        <v>110</v>
      </c>
      <c r="D36" s="84">
        <v>34.76</v>
      </c>
      <c r="E36" s="84"/>
      <c r="F36" s="85"/>
      <c r="H36" s="82"/>
      <c r="I36" s="83" t="s">
        <v>110</v>
      </c>
      <c r="J36" s="84">
        <v>130.21999999999997</v>
      </c>
      <c r="K36" s="84"/>
      <c r="L36" s="85"/>
      <c r="M36" s="82"/>
    </row>
    <row r="37" spans="2:13" x14ac:dyDescent="0.25">
      <c r="B37" s="82"/>
      <c r="C37" s="83" t="s">
        <v>111</v>
      </c>
      <c r="D37" s="84">
        <v>31.28</v>
      </c>
      <c r="E37" s="84"/>
      <c r="F37" s="85"/>
      <c r="H37" s="82"/>
      <c r="I37" s="83" t="s">
        <v>111</v>
      </c>
      <c r="J37" s="84">
        <v>110.69999999999999</v>
      </c>
      <c r="K37" s="84"/>
      <c r="L37" s="85"/>
      <c r="M37" s="82"/>
    </row>
    <row r="38" spans="2:13" x14ac:dyDescent="0.25">
      <c r="B38" s="82"/>
      <c r="C38" s="83" t="s">
        <v>112</v>
      </c>
      <c r="D38" s="84">
        <v>40.85</v>
      </c>
      <c r="E38" s="84"/>
      <c r="F38" s="85"/>
      <c r="H38" s="82"/>
      <c r="I38" s="83" t="s">
        <v>112</v>
      </c>
      <c r="J38" s="84">
        <v>147</v>
      </c>
      <c r="K38" s="84"/>
      <c r="L38" s="85"/>
      <c r="M38" s="82"/>
    </row>
    <row r="39" spans="2:13" x14ac:dyDescent="0.25">
      <c r="B39" s="82"/>
      <c r="C39" s="83" t="s">
        <v>113</v>
      </c>
      <c r="D39" s="84">
        <v>38.22</v>
      </c>
      <c r="E39" s="84"/>
      <c r="F39" s="85"/>
      <c r="H39" s="82"/>
      <c r="I39" s="83" t="s">
        <v>113</v>
      </c>
      <c r="J39" s="84">
        <v>116.58</v>
      </c>
      <c r="K39" s="84"/>
      <c r="L39" s="85"/>
      <c r="M39" s="82"/>
    </row>
    <row r="40" spans="2:13" x14ac:dyDescent="0.25">
      <c r="B40" s="82"/>
      <c r="C40" s="83" t="s">
        <v>114</v>
      </c>
      <c r="D40" s="84">
        <v>23.7</v>
      </c>
      <c r="E40" s="84"/>
      <c r="F40" s="85"/>
      <c r="H40" s="82"/>
      <c r="I40" s="83" t="s">
        <v>114</v>
      </c>
      <c r="J40" s="84">
        <v>86.5</v>
      </c>
      <c r="K40" s="84"/>
      <c r="L40" s="85"/>
      <c r="M40" s="82"/>
    </row>
    <row r="41" spans="2:13" x14ac:dyDescent="0.25">
      <c r="B41" s="82"/>
      <c r="C41" s="83" t="s">
        <v>115</v>
      </c>
      <c r="D41" s="84">
        <v>40.299999999999997</v>
      </c>
      <c r="E41" s="84"/>
      <c r="F41" s="82"/>
      <c r="H41" s="82"/>
      <c r="I41" s="83" t="s">
        <v>115</v>
      </c>
      <c r="J41" s="84">
        <v>138.5</v>
      </c>
      <c r="K41" s="84"/>
      <c r="L41" s="82"/>
      <c r="M41" s="82"/>
    </row>
    <row r="42" spans="2:13" x14ac:dyDescent="0.25">
      <c r="B42" s="82"/>
      <c r="C42" s="83" t="s">
        <v>116</v>
      </c>
      <c r="D42" s="84">
        <v>29.34</v>
      </c>
      <c r="E42" s="84"/>
      <c r="F42" s="82"/>
      <c r="H42" s="82"/>
      <c r="I42" s="83" t="s">
        <v>120</v>
      </c>
      <c r="J42" s="84">
        <v>127.94000000000001</v>
      </c>
      <c r="K42" s="84"/>
      <c r="L42" s="82"/>
      <c r="M42" s="82"/>
    </row>
    <row r="43" spans="2:13" ht="18.75" x14ac:dyDescent="0.3">
      <c r="B43" s="82"/>
      <c r="C43" s="83" t="s">
        <v>117</v>
      </c>
      <c r="D43" s="84">
        <v>28.98</v>
      </c>
      <c r="E43" s="84"/>
      <c r="F43" s="82"/>
      <c r="H43" s="193" t="s">
        <v>121</v>
      </c>
      <c r="I43" s="193"/>
      <c r="J43" s="193"/>
      <c r="K43" s="90" t="s">
        <v>196</v>
      </c>
      <c r="L43" s="91"/>
      <c r="M43" s="93"/>
    </row>
    <row r="44" spans="2:13" x14ac:dyDescent="0.25">
      <c r="B44" s="82"/>
      <c r="C44" s="83" t="s">
        <v>118</v>
      </c>
      <c r="D44" s="84">
        <v>30.33</v>
      </c>
      <c r="E44" s="84"/>
      <c r="F44" s="82"/>
      <c r="H44" s="91"/>
      <c r="I44" s="92" t="s">
        <v>122</v>
      </c>
      <c r="J44" s="93">
        <v>115.30000000000001</v>
      </c>
      <c r="K44" s="93"/>
      <c r="L44" s="94" t="s">
        <v>76</v>
      </c>
      <c r="M44" s="91"/>
    </row>
    <row r="45" spans="2:13" x14ac:dyDescent="0.25">
      <c r="B45" s="82"/>
      <c r="C45" s="83" t="s">
        <v>119</v>
      </c>
      <c r="D45" s="84">
        <v>26.5</v>
      </c>
      <c r="E45" s="84"/>
      <c r="F45" s="82"/>
      <c r="H45" s="91"/>
      <c r="I45" s="92" t="s">
        <v>123</v>
      </c>
      <c r="J45" s="93">
        <v>76.400000000000006</v>
      </c>
      <c r="K45" s="93"/>
      <c r="L45" s="95">
        <f>AVERAGE(J44:J47)</f>
        <v>99.037499999999994</v>
      </c>
      <c r="M45" s="91"/>
    </row>
    <row r="46" spans="2:13" x14ac:dyDescent="0.25">
      <c r="B46" s="82"/>
      <c r="C46" s="83" t="s">
        <v>120</v>
      </c>
      <c r="D46" s="84">
        <v>35.9</v>
      </c>
      <c r="E46" s="84"/>
      <c r="F46" s="82"/>
      <c r="H46" s="91"/>
      <c r="I46" s="92" t="s">
        <v>124</v>
      </c>
      <c r="J46" s="93">
        <v>93.05</v>
      </c>
      <c r="K46" s="93"/>
      <c r="L46" s="94" t="s">
        <v>79</v>
      </c>
      <c r="M46" s="91"/>
    </row>
    <row r="47" spans="2:13" ht="18.75" x14ac:dyDescent="0.3">
      <c r="B47" s="193" t="s">
        <v>121</v>
      </c>
      <c r="C47" s="193"/>
      <c r="D47" s="193"/>
      <c r="E47" s="90" t="s">
        <v>196</v>
      </c>
      <c r="F47" s="91"/>
      <c r="H47" s="91"/>
      <c r="I47" s="92" t="s">
        <v>125</v>
      </c>
      <c r="J47" s="93">
        <v>111.39999999999999</v>
      </c>
      <c r="K47" s="93"/>
      <c r="L47" s="95">
        <f>MEDIAN(J44:J47)</f>
        <v>102.22499999999999</v>
      </c>
      <c r="M47" s="91"/>
    </row>
    <row r="48" spans="2:13" ht="18.75" x14ac:dyDescent="0.3">
      <c r="B48" s="91"/>
      <c r="C48" s="92" t="s">
        <v>122</v>
      </c>
      <c r="D48" s="93">
        <v>35.700000000000003</v>
      </c>
      <c r="E48" s="93"/>
      <c r="F48" s="94" t="s">
        <v>76</v>
      </c>
      <c r="H48" s="194" t="s">
        <v>126</v>
      </c>
      <c r="I48" s="194"/>
      <c r="J48" s="194"/>
      <c r="K48" s="96" t="s">
        <v>196</v>
      </c>
      <c r="L48" s="97"/>
      <c r="M48" s="100"/>
    </row>
    <row r="49" spans="2:13" x14ac:dyDescent="0.25">
      <c r="B49" s="91"/>
      <c r="C49" s="92" t="s">
        <v>123</v>
      </c>
      <c r="D49" s="93">
        <v>26.05</v>
      </c>
      <c r="E49" s="93"/>
      <c r="F49" s="95">
        <f>AVERAGE(D48:D51)</f>
        <v>28.5075</v>
      </c>
      <c r="H49" s="98"/>
      <c r="I49" s="99" t="s">
        <v>127</v>
      </c>
      <c r="J49" s="100">
        <v>128.51999999999998</v>
      </c>
      <c r="K49" s="100"/>
      <c r="L49" s="101" t="s">
        <v>76</v>
      </c>
      <c r="M49" s="98"/>
    </row>
    <row r="50" spans="2:13" x14ac:dyDescent="0.25">
      <c r="B50" s="91"/>
      <c r="C50" s="92" t="s">
        <v>124</v>
      </c>
      <c r="D50" s="93">
        <v>25.3</v>
      </c>
      <c r="E50" s="93"/>
      <c r="F50" s="94" t="s">
        <v>79</v>
      </c>
      <c r="H50" s="98"/>
      <c r="I50" s="99" t="s">
        <v>128</v>
      </c>
      <c r="J50" s="100">
        <v>118.74000000000001</v>
      </c>
      <c r="K50" s="100"/>
      <c r="L50" s="97">
        <f>AVERAGE(J49:J70)</f>
        <v>125.43007575757575</v>
      </c>
      <c r="M50" s="98"/>
    </row>
    <row r="51" spans="2:13" x14ac:dyDescent="0.25">
      <c r="B51" s="91"/>
      <c r="C51" s="92" t="s">
        <v>125</v>
      </c>
      <c r="D51" s="93">
        <v>26.98</v>
      </c>
      <c r="E51" s="93"/>
      <c r="F51" s="95">
        <f>MEDIAN(D48:D51)</f>
        <v>26.515000000000001</v>
      </c>
      <c r="H51" s="98"/>
      <c r="I51" s="99" t="s">
        <v>129</v>
      </c>
      <c r="J51" s="100">
        <v>120.69999999999999</v>
      </c>
      <c r="K51" s="100"/>
      <c r="L51" s="101" t="s">
        <v>79</v>
      </c>
      <c r="M51" s="98"/>
    </row>
    <row r="52" spans="2:13" ht="18.75" x14ac:dyDescent="0.3">
      <c r="B52" s="194" t="s">
        <v>126</v>
      </c>
      <c r="C52" s="194"/>
      <c r="D52" s="194"/>
      <c r="E52" s="96" t="s">
        <v>196</v>
      </c>
      <c r="F52" s="97"/>
      <c r="H52" s="98"/>
      <c r="I52" s="99" t="s">
        <v>130</v>
      </c>
      <c r="J52" s="100">
        <v>114.75</v>
      </c>
      <c r="K52" s="100"/>
      <c r="L52" s="97">
        <f>MEDIAN(J49:J70)</f>
        <v>124.1</v>
      </c>
      <c r="M52" s="98"/>
    </row>
    <row r="53" spans="2:13" x14ac:dyDescent="0.25">
      <c r="B53" s="98"/>
      <c r="C53" s="99" t="s">
        <v>127</v>
      </c>
      <c r="D53" s="100">
        <v>37.799999999999997</v>
      </c>
      <c r="E53" s="100"/>
      <c r="F53" s="101" t="s">
        <v>76</v>
      </c>
      <c r="H53" s="98"/>
      <c r="I53" s="99" t="s">
        <v>131</v>
      </c>
      <c r="J53" s="100">
        <v>125.5</v>
      </c>
      <c r="K53" s="100"/>
      <c r="L53" s="101" t="s">
        <v>82</v>
      </c>
      <c r="M53" s="98"/>
    </row>
    <row r="54" spans="2:13" x14ac:dyDescent="0.25">
      <c r="B54" s="98"/>
      <c r="C54" s="99" t="s">
        <v>128</v>
      </c>
      <c r="D54" s="100">
        <v>29.94</v>
      </c>
      <c r="E54" s="100"/>
      <c r="F54" s="97">
        <f>AVERAGE(D53:D74)</f>
        <v>34.547272727272734</v>
      </c>
      <c r="H54" s="98"/>
      <c r="I54" s="99" t="s">
        <v>132</v>
      </c>
      <c r="J54" s="100">
        <v>116.64000000000001</v>
      </c>
      <c r="K54" s="100"/>
      <c r="L54" s="97">
        <f>(MAX(J49:J70))-(MIN(J49:J70))</f>
        <v>35.399999999999991</v>
      </c>
      <c r="M54" s="98"/>
    </row>
    <row r="55" spans="2:13" x14ac:dyDescent="0.25">
      <c r="B55" s="98"/>
      <c r="C55" s="99" t="s">
        <v>129</v>
      </c>
      <c r="D55" s="100">
        <v>28.54</v>
      </c>
      <c r="E55" s="100"/>
      <c r="F55" s="101" t="s">
        <v>79</v>
      </c>
      <c r="H55" s="98"/>
      <c r="I55" s="99" t="s">
        <v>133</v>
      </c>
      <c r="J55" s="100">
        <v>143.22</v>
      </c>
      <c r="K55" s="100"/>
      <c r="L55" s="98"/>
      <c r="M55" s="98"/>
    </row>
    <row r="56" spans="2:13" x14ac:dyDescent="0.25">
      <c r="B56" s="98"/>
      <c r="C56" s="99" t="s">
        <v>130</v>
      </c>
      <c r="D56" s="100">
        <v>28.56</v>
      </c>
      <c r="E56" s="100"/>
      <c r="F56" s="97">
        <f>MEDIAN(D53:D74)</f>
        <v>35.67</v>
      </c>
      <c r="H56" s="98"/>
      <c r="I56" s="99" t="s">
        <v>134</v>
      </c>
      <c r="J56" s="100">
        <v>128.92499999999998</v>
      </c>
      <c r="K56" s="100"/>
      <c r="L56" s="101"/>
      <c r="M56" s="98"/>
    </row>
    <row r="57" spans="2:13" x14ac:dyDescent="0.25">
      <c r="B57" s="98"/>
      <c r="C57" s="99" t="s">
        <v>131</v>
      </c>
      <c r="D57" s="100">
        <v>35.64</v>
      </c>
      <c r="E57" s="100"/>
      <c r="F57" s="101" t="s">
        <v>82</v>
      </c>
      <c r="H57" s="98"/>
      <c r="I57" s="99" t="s">
        <v>135</v>
      </c>
      <c r="J57" s="100">
        <v>107.82000000000001</v>
      </c>
      <c r="K57" s="100"/>
      <c r="L57" s="101"/>
      <c r="M57" s="98"/>
    </row>
    <row r="58" spans="2:13" x14ac:dyDescent="0.25">
      <c r="B58" s="98"/>
      <c r="C58" s="99" t="s">
        <v>132</v>
      </c>
      <c r="D58" s="100">
        <v>35.26</v>
      </c>
      <c r="E58" s="100"/>
      <c r="F58" s="97">
        <f>(MAX(D53:D74))-(MIN(D53:D74))</f>
        <v>12.240000000000002</v>
      </c>
      <c r="H58" s="98"/>
      <c r="I58" s="99" t="s">
        <v>136</v>
      </c>
      <c r="J58" s="100">
        <v>130.80000000000001</v>
      </c>
      <c r="K58" s="100"/>
      <c r="L58" s="101"/>
      <c r="M58" s="98"/>
    </row>
    <row r="59" spans="2:13" x14ac:dyDescent="0.25">
      <c r="B59" s="98"/>
      <c r="C59" s="99" t="s">
        <v>133</v>
      </c>
      <c r="D59" s="100">
        <v>40.78</v>
      </c>
      <c r="E59" s="100"/>
      <c r="F59" s="98"/>
      <c r="H59" s="98"/>
      <c r="I59" s="99" t="s">
        <v>137</v>
      </c>
      <c r="J59" s="100">
        <v>141.05000000000001</v>
      </c>
      <c r="K59" s="100"/>
      <c r="L59" s="101"/>
      <c r="M59" s="98"/>
    </row>
    <row r="60" spans="2:13" x14ac:dyDescent="0.25">
      <c r="B60" s="98"/>
      <c r="C60" s="99" t="s">
        <v>134</v>
      </c>
      <c r="D60" s="100">
        <v>37.76</v>
      </c>
      <c r="E60" s="100"/>
      <c r="F60" s="101"/>
      <c r="H60" s="98"/>
      <c r="I60" s="99" t="s">
        <v>138</v>
      </c>
      <c r="J60" s="100">
        <v>122.35</v>
      </c>
      <c r="K60" s="100"/>
      <c r="L60" s="101"/>
      <c r="M60" s="98"/>
    </row>
    <row r="61" spans="2:13" x14ac:dyDescent="0.25">
      <c r="B61" s="98"/>
      <c r="C61" s="99" t="s">
        <v>135</v>
      </c>
      <c r="D61" s="100">
        <v>37.299999999999997</v>
      </c>
      <c r="E61" s="100"/>
      <c r="F61" s="101"/>
      <c r="H61" s="98"/>
      <c r="I61" s="99" t="s">
        <v>139</v>
      </c>
      <c r="J61" s="100">
        <v>141.86666666666667</v>
      </c>
      <c r="K61" s="100"/>
      <c r="L61" s="101"/>
      <c r="M61" s="98"/>
    </row>
    <row r="62" spans="2:13" x14ac:dyDescent="0.25">
      <c r="B62" s="98"/>
      <c r="C62" s="99" t="s">
        <v>136</v>
      </c>
      <c r="D62" s="100">
        <v>29.56</v>
      </c>
      <c r="E62" s="100"/>
      <c r="F62" s="101"/>
      <c r="H62" s="98"/>
      <c r="I62" s="99" t="s">
        <v>140</v>
      </c>
      <c r="J62" s="100">
        <v>129.85999999999999</v>
      </c>
      <c r="K62" s="100"/>
      <c r="L62" s="101"/>
      <c r="M62" s="98"/>
    </row>
    <row r="63" spans="2:13" x14ac:dyDescent="0.25">
      <c r="B63" s="98"/>
      <c r="C63" s="99" t="s">
        <v>137</v>
      </c>
      <c r="D63" s="100">
        <v>36.700000000000003</v>
      </c>
      <c r="E63" s="100"/>
      <c r="F63" s="101"/>
      <c r="H63" s="98"/>
      <c r="I63" s="99" t="s">
        <v>141</v>
      </c>
      <c r="J63" s="100">
        <v>111.2</v>
      </c>
      <c r="K63" s="100"/>
      <c r="L63" s="101"/>
      <c r="M63" s="98"/>
    </row>
    <row r="64" spans="2:13" x14ac:dyDescent="0.25">
      <c r="B64" s="98"/>
      <c r="C64" s="99" t="s">
        <v>138</v>
      </c>
      <c r="D64" s="100">
        <v>31.06</v>
      </c>
      <c r="E64" s="100"/>
      <c r="F64" s="101"/>
      <c r="H64" s="98"/>
      <c r="I64" s="99" t="s">
        <v>142</v>
      </c>
      <c r="J64" s="100">
        <v>117.14999999999999</v>
      </c>
      <c r="K64" s="100"/>
      <c r="L64" s="101"/>
      <c r="M64" s="98"/>
    </row>
    <row r="65" spans="2:13" x14ac:dyDescent="0.25">
      <c r="B65" s="98"/>
      <c r="C65" s="99" t="s">
        <v>139</v>
      </c>
      <c r="D65" s="100">
        <v>38.299999999999997</v>
      </c>
      <c r="E65" s="100"/>
      <c r="F65" s="101"/>
      <c r="H65" s="98"/>
      <c r="I65" s="99" t="s">
        <v>143</v>
      </c>
      <c r="J65" s="100">
        <v>134.4</v>
      </c>
      <c r="K65" s="100"/>
      <c r="L65" s="101"/>
      <c r="M65" s="98"/>
    </row>
    <row r="66" spans="2:13" x14ac:dyDescent="0.25">
      <c r="B66" s="98"/>
      <c r="C66" s="99" t="s">
        <v>140</v>
      </c>
      <c r="D66" s="100">
        <v>35.92</v>
      </c>
      <c r="E66" s="100"/>
      <c r="F66" s="101"/>
      <c r="H66" s="98"/>
      <c r="I66" s="99" t="s">
        <v>144</v>
      </c>
      <c r="J66" s="100">
        <v>122.7</v>
      </c>
      <c r="K66" s="100"/>
      <c r="L66" s="101"/>
      <c r="M66" s="98"/>
    </row>
    <row r="67" spans="2:13" x14ac:dyDescent="0.25">
      <c r="B67" s="98"/>
      <c r="C67" s="99" t="s">
        <v>141</v>
      </c>
      <c r="D67" s="100">
        <v>36.22</v>
      </c>
      <c r="E67" s="100"/>
      <c r="F67" s="101"/>
      <c r="H67" s="98"/>
      <c r="I67" s="99" t="s">
        <v>145</v>
      </c>
      <c r="J67" s="100">
        <v>121.82499999999999</v>
      </c>
      <c r="K67" s="100"/>
      <c r="L67" s="101"/>
      <c r="M67" s="98"/>
    </row>
    <row r="68" spans="2:13" x14ac:dyDescent="0.25">
      <c r="B68" s="98"/>
      <c r="C68" s="99" t="s">
        <v>142</v>
      </c>
      <c r="D68" s="100">
        <v>30.84</v>
      </c>
      <c r="E68" s="100"/>
      <c r="F68" s="101"/>
      <c r="H68" s="98"/>
      <c r="I68" s="99" t="s">
        <v>146</v>
      </c>
      <c r="J68" s="100">
        <v>133.625</v>
      </c>
      <c r="K68" s="100"/>
      <c r="L68" s="101"/>
      <c r="M68" s="98"/>
    </row>
    <row r="69" spans="2:13" x14ac:dyDescent="0.25">
      <c r="B69" s="98"/>
      <c r="C69" s="99" t="s">
        <v>143</v>
      </c>
      <c r="D69" s="100">
        <v>35.700000000000003</v>
      </c>
      <c r="E69" s="100"/>
      <c r="F69" s="101"/>
      <c r="H69" s="98"/>
      <c r="I69" s="99" t="s">
        <v>147</v>
      </c>
      <c r="J69" s="100">
        <v>120.75999999999999</v>
      </c>
      <c r="K69" s="100"/>
      <c r="L69" s="98"/>
      <c r="M69" s="98"/>
    </row>
    <row r="70" spans="2:13" x14ac:dyDescent="0.25">
      <c r="B70" s="98"/>
      <c r="C70" s="99" t="s">
        <v>144</v>
      </c>
      <c r="D70" s="100">
        <v>34.119999999999997</v>
      </c>
      <c r="E70" s="100"/>
      <c r="F70" s="101"/>
      <c r="H70" s="98"/>
      <c r="I70" s="99" t="s">
        <v>148</v>
      </c>
      <c r="J70" s="100">
        <v>127.05999999999999</v>
      </c>
      <c r="K70" s="100"/>
      <c r="L70" s="98"/>
      <c r="M70" s="98"/>
    </row>
    <row r="71" spans="2:13" ht="18.75" x14ac:dyDescent="0.3">
      <c r="B71" s="98"/>
      <c r="C71" s="99" t="s">
        <v>145</v>
      </c>
      <c r="D71" s="100">
        <v>29.72</v>
      </c>
      <c r="E71" s="100"/>
      <c r="F71" s="101"/>
      <c r="H71" s="189" t="s">
        <v>149</v>
      </c>
      <c r="I71" s="189"/>
      <c r="J71" s="189"/>
      <c r="K71" s="102" t="s">
        <v>196</v>
      </c>
      <c r="L71" s="103"/>
      <c r="M71" s="113"/>
    </row>
    <row r="72" spans="2:13" x14ac:dyDescent="0.25">
      <c r="B72" s="98"/>
      <c r="C72" s="99" t="s">
        <v>146</v>
      </c>
      <c r="D72" s="100">
        <v>38.799999999999997</v>
      </c>
      <c r="E72" s="100"/>
      <c r="F72" s="101"/>
      <c r="H72" s="104"/>
      <c r="I72" s="105" t="s">
        <v>150</v>
      </c>
      <c r="J72" s="106">
        <v>147.68</v>
      </c>
      <c r="K72" s="106"/>
      <c r="L72" s="107" t="s">
        <v>76</v>
      </c>
      <c r="M72" s="104"/>
    </row>
    <row r="73" spans="2:13" x14ac:dyDescent="0.25">
      <c r="B73" s="98"/>
      <c r="C73" s="99" t="s">
        <v>147</v>
      </c>
      <c r="D73" s="100">
        <v>35.880000000000003</v>
      </c>
      <c r="E73" s="100"/>
      <c r="F73" s="98"/>
      <c r="H73" s="104"/>
      <c r="I73" s="105" t="s">
        <v>151</v>
      </c>
      <c r="J73" s="106">
        <v>180.04</v>
      </c>
      <c r="K73" s="106"/>
      <c r="L73" s="108">
        <f>AVERAGE(J72:J85)</f>
        <v>147.80357142857142</v>
      </c>
      <c r="M73" s="104"/>
    </row>
    <row r="74" spans="2:13" x14ac:dyDescent="0.25">
      <c r="B74" s="98"/>
      <c r="C74" s="99" t="s">
        <v>148</v>
      </c>
      <c r="D74" s="100">
        <v>35.64</v>
      </c>
      <c r="E74" s="100"/>
      <c r="F74" s="98"/>
      <c r="H74" s="104"/>
      <c r="I74" s="105" t="s">
        <v>152</v>
      </c>
      <c r="J74" s="106">
        <v>144.5</v>
      </c>
      <c r="K74" s="106"/>
      <c r="L74" s="104" t="s">
        <v>79</v>
      </c>
      <c r="M74" s="104"/>
    </row>
    <row r="75" spans="2:13" ht="18.75" x14ac:dyDescent="0.3">
      <c r="B75" s="189" t="s">
        <v>149</v>
      </c>
      <c r="C75" s="189"/>
      <c r="D75" s="189"/>
      <c r="E75" s="102" t="s">
        <v>196</v>
      </c>
      <c r="F75" s="103"/>
      <c r="H75" s="104"/>
      <c r="I75" s="105" t="s">
        <v>153</v>
      </c>
      <c r="J75" s="106">
        <v>133.35999999999999</v>
      </c>
      <c r="K75" s="106"/>
      <c r="L75" s="106">
        <f>MEDIAN(J72:J85)</f>
        <v>148.99</v>
      </c>
      <c r="M75" s="104"/>
    </row>
    <row r="76" spans="2:13" x14ac:dyDescent="0.25">
      <c r="B76" s="104"/>
      <c r="C76" s="105" t="s">
        <v>150</v>
      </c>
      <c r="D76" s="106">
        <v>41.98</v>
      </c>
      <c r="E76" s="106"/>
      <c r="F76" s="107" t="s">
        <v>76</v>
      </c>
      <c r="H76" s="104"/>
      <c r="I76" s="105" t="s">
        <v>154</v>
      </c>
      <c r="J76" s="106">
        <v>155.9</v>
      </c>
      <c r="K76" s="106"/>
      <c r="L76" s="107" t="s">
        <v>82</v>
      </c>
      <c r="M76" s="104"/>
    </row>
    <row r="77" spans="2:13" x14ac:dyDescent="0.25">
      <c r="B77" s="104"/>
      <c r="C77" s="105" t="s">
        <v>151</v>
      </c>
      <c r="D77" s="106">
        <v>43.42</v>
      </c>
      <c r="E77" s="106"/>
      <c r="F77" s="108">
        <f>AVERAGE(D76:D89)</f>
        <v>40.875714285714288</v>
      </c>
      <c r="H77" s="104"/>
      <c r="I77" s="105" t="s">
        <v>155</v>
      </c>
      <c r="J77" s="106">
        <v>154.97499999999999</v>
      </c>
      <c r="K77" s="106"/>
      <c r="L77" s="108">
        <f>(MAX(J72:J85))-(MIN(J72:J85))</f>
        <v>61.419999999999987</v>
      </c>
      <c r="M77" s="104"/>
    </row>
    <row r="78" spans="2:13" x14ac:dyDescent="0.25">
      <c r="B78" s="104"/>
      <c r="C78" s="105" t="s">
        <v>152</v>
      </c>
      <c r="D78" s="106">
        <v>41.53</v>
      </c>
      <c r="E78" s="106"/>
      <c r="F78" s="104" t="s">
        <v>79</v>
      </c>
      <c r="H78" s="104"/>
      <c r="I78" s="105" t="s">
        <v>156</v>
      </c>
      <c r="J78" s="106">
        <v>148.12</v>
      </c>
      <c r="K78" s="106"/>
      <c r="L78" s="107"/>
      <c r="M78" s="104"/>
    </row>
    <row r="79" spans="2:13" x14ac:dyDescent="0.25">
      <c r="B79" s="104"/>
      <c r="C79" s="105" t="s">
        <v>153</v>
      </c>
      <c r="D79" s="106">
        <v>37.14</v>
      </c>
      <c r="E79" s="106"/>
      <c r="F79" s="106">
        <f>MEDIAN(D76:D89)</f>
        <v>41.814999999999998</v>
      </c>
      <c r="H79" s="104"/>
      <c r="I79" s="105" t="s">
        <v>157</v>
      </c>
      <c r="J79" s="106">
        <v>175.5</v>
      </c>
      <c r="K79" s="106"/>
      <c r="L79" s="107"/>
      <c r="M79" s="104"/>
    </row>
    <row r="80" spans="2:13" x14ac:dyDescent="0.25">
      <c r="B80" s="104"/>
      <c r="C80" s="105" t="s">
        <v>154</v>
      </c>
      <c r="D80" s="106">
        <v>42.33</v>
      </c>
      <c r="E80" s="106"/>
      <c r="F80" s="107" t="s">
        <v>82</v>
      </c>
      <c r="H80" s="104"/>
      <c r="I80" s="105" t="s">
        <v>158</v>
      </c>
      <c r="J80" s="106">
        <v>155.65</v>
      </c>
      <c r="K80" s="106"/>
      <c r="L80" s="107"/>
      <c r="M80" s="104"/>
    </row>
    <row r="81" spans="2:13" x14ac:dyDescent="0.25">
      <c r="B81" s="104"/>
      <c r="C81" s="105" t="s">
        <v>155</v>
      </c>
      <c r="D81" s="106">
        <v>46.05</v>
      </c>
      <c r="E81" s="106"/>
      <c r="F81" s="108">
        <f>(MAX(D76:D89))-(MIN(D76:D89))</f>
        <v>13.149999999999999</v>
      </c>
      <c r="H81" s="104"/>
      <c r="I81" s="105" t="s">
        <v>159</v>
      </c>
      <c r="J81" s="106">
        <v>149.85999999999999</v>
      </c>
      <c r="K81" s="106"/>
      <c r="L81" s="107"/>
      <c r="M81" s="104"/>
    </row>
    <row r="82" spans="2:13" x14ac:dyDescent="0.25">
      <c r="B82" s="104"/>
      <c r="C82" s="105" t="s">
        <v>156</v>
      </c>
      <c r="D82" s="106">
        <v>41.77</v>
      </c>
      <c r="E82" s="106"/>
      <c r="F82" s="107"/>
      <c r="H82" s="104"/>
      <c r="I82" s="105" t="s">
        <v>160</v>
      </c>
      <c r="J82" s="106">
        <v>160.02499999999998</v>
      </c>
      <c r="K82" s="106"/>
      <c r="L82" s="107"/>
      <c r="M82" s="104"/>
    </row>
    <row r="83" spans="2:13" x14ac:dyDescent="0.25">
      <c r="B83" s="104"/>
      <c r="C83" s="105" t="s">
        <v>157</v>
      </c>
      <c r="D83" s="106">
        <v>47.25</v>
      </c>
      <c r="E83" s="106"/>
      <c r="F83" s="107"/>
      <c r="H83" s="104"/>
      <c r="I83" s="105" t="s">
        <v>161</v>
      </c>
      <c r="J83" s="106">
        <v>118.62</v>
      </c>
      <c r="K83" s="106"/>
      <c r="L83" s="107"/>
      <c r="M83" s="104"/>
    </row>
    <row r="84" spans="2:13" x14ac:dyDescent="0.25">
      <c r="B84" s="104"/>
      <c r="C84" s="105" t="s">
        <v>158</v>
      </c>
      <c r="D84" s="106">
        <v>41.86</v>
      </c>
      <c r="E84" s="106"/>
      <c r="F84" s="107"/>
      <c r="H84" s="104"/>
      <c r="I84" s="105" t="s">
        <v>162</v>
      </c>
      <c r="J84" s="106">
        <v>120.91999999999999</v>
      </c>
      <c r="K84" s="106"/>
      <c r="L84" s="104"/>
      <c r="M84" s="104"/>
    </row>
    <row r="85" spans="2:13" x14ac:dyDescent="0.25">
      <c r="B85" s="104"/>
      <c r="C85" s="105" t="s">
        <v>159</v>
      </c>
      <c r="D85" s="106">
        <v>40.630000000000003</v>
      </c>
      <c r="E85" s="106"/>
      <c r="F85" s="107"/>
      <c r="H85" s="104"/>
      <c r="I85" s="105" t="s">
        <v>163</v>
      </c>
      <c r="J85" s="106">
        <v>124.1</v>
      </c>
      <c r="K85" s="106"/>
      <c r="L85" s="104"/>
      <c r="M85" s="104"/>
    </row>
    <row r="86" spans="2:13" x14ac:dyDescent="0.25">
      <c r="B86" s="104"/>
      <c r="C86" s="105" t="s">
        <v>160</v>
      </c>
      <c r="D86" s="106">
        <v>43.03</v>
      </c>
      <c r="E86" s="106"/>
      <c r="F86" s="107"/>
      <c r="H86" s="109"/>
      <c r="I86" s="110" t="s">
        <v>164</v>
      </c>
      <c r="J86" s="111">
        <v>125.16749999999999</v>
      </c>
      <c r="K86" s="111"/>
      <c r="L86" s="112"/>
      <c r="M86" s="109"/>
    </row>
    <row r="87" spans="2:13" x14ac:dyDescent="0.25">
      <c r="B87" s="104"/>
      <c r="C87" s="105" t="s">
        <v>161</v>
      </c>
      <c r="D87" s="106">
        <v>34.1</v>
      </c>
      <c r="E87" s="106"/>
      <c r="F87" s="107"/>
    </row>
    <row r="88" spans="2:13" x14ac:dyDescent="0.25">
      <c r="B88" s="104"/>
      <c r="C88" s="105" t="s">
        <v>162</v>
      </c>
      <c r="D88" s="106">
        <v>36.17</v>
      </c>
      <c r="E88" s="106"/>
      <c r="F88" s="104"/>
    </row>
    <row r="89" spans="2:13" x14ac:dyDescent="0.25">
      <c r="B89" s="104"/>
      <c r="C89" s="105" t="s">
        <v>163</v>
      </c>
      <c r="D89" s="106">
        <v>35</v>
      </c>
      <c r="E89" s="106"/>
      <c r="F89" s="104"/>
    </row>
    <row r="90" spans="2:13" x14ac:dyDescent="0.25">
      <c r="B90" s="109"/>
      <c r="C90" s="110" t="s">
        <v>164</v>
      </c>
      <c r="D90" s="111">
        <v>37.840000000000003</v>
      </c>
      <c r="E90" s="111"/>
      <c r="F90" s="112"/>
    </row>
  </sheetData>
  <mergeCells count="13">
    <mergeCell ref="B1:M1"/>
    <mergeCell ref="B75:D75"/>
    <mergeCell ref="H71:J71"/>
    <mergeCell ref="B2:F2"/>
    <mergeCell ref="B3:D3"/>
    <mergeCell ref="B10:D10"/>
    <mergeCell ref="B47:D47"/>
    <mergeCell ref="B52:D52"/>
    <mergeCell ref="H3:J3"/>
    <mergeCell ref="H10:J10"/>
    <mergeCell ref="H43:J43"/>
    <mergeCell ref="H48:J48"/>
    <mergeCell ref="H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Crop Comparison</vt:lpstr>
      <vt:lpstr>Crop &amp; Farm Summary</vt:lpstr>
      <vt:lpstr>State Yields</vt:lpstr>
      <vt:lpstr>Regional Yeilds</vt:lpstr>
      <vt:lpstr>'Crop Comparison'!Print_Area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buck</dc:creator>
  <cp:lastModifiedBy>Margaret M Huffman</cp:lastModifiedBy>
  <cp:lastPrinted>2018-03-21T22:50:51Z</cp:lastPrinted>
  <dcterms:created xsi:type="dcterms:W3CDTF">2015-02-25T17:23:27Z</dcterms:created>
  <dcterms:modified xsi:type="dcterms:W3CDTF">2020-03-09T14:46:38Z</dcterms:modified>
</cp:coreProperties>
</file>