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huffm2.WOLFTECH\Desktop\"/>
    </mc:Choice>
  </mc:AlternateContent>
  <bookViews>
    <workbookView xWindow="0" yWindow="0" windowWidth="20490" windowHeight="9105" activeTab="2"/>
  </bookViews>
  <sheets>
    <sheet name="Economic losses" sheetId="9" r:id="rId1"/>
    <sheet name="Top GCAU (feed needs) by county" sheetId="11" r:id="rId2"/>
    <sheet name="NC_livestock_by_head-feed-lbs" sheetId="8" r:id="rId3"/>
  </sheet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10" i="8" l="1"/>
  <c r="AA110" i="8"/>
  <c r="H183" i="8" l="1"/>
  <c r="J183" i="8" s="1"/>
  <c r="K183" i="8" s="1"/>
  <c r="C183" i="8"/>
  <c r="D183" i="8" s="1"/>
  <c r="C182" i="8"/>
  <c r="D182" i="8" s="1"/>
  <c r="F182" i="8" s="1"/>
  <c r="D181" i="8"/>
  <c r="F181" i="8" s="1"/>
  <c r="C181" i="8"/>
  <c r="C180" i="8"/>
  <c r="D180" i="8" s="1"/>
  <c r="J179" i="8"/>
  <c r="K179" i="8" s="1"/>
  <c r="H179" i="8"/>
  <c r="I179" i="8" s="1"/>
  <c r="D179" i="8"/>
  <c r="C179" i="8"/>
  <c r="F110" i="8"/>
  <c r="D110" i="8"/>
  <c r="AB112" i="8"/>
  <c r="AA112" i="8"/>
  <c r="F180" i="8" l="1"/>
  <c r="F183" i="8"/>
  <c r="F179" i="8"/>
  <c r="E180" i="8"/>
  <c r="G180" i="8" s="1"/>
  <c r="H180" i="8" s="1"/>
  <c r="E181" i="8"/>
  <c r="G181" i="8" s="1"/>
  <c r="H181" i="8" s="1"/>
  <c r="I183" i="8"/>
  <c r="E182" i="8"/>
  <c r="G182" i="8" s="1"/>
  <c r="H182" i="8" s="1"/>
  <c r="K8" i="8"/>
  <c r="J8" i="8"/>
  <c r="M8" i="8"/>
  <c r="J180" i="8" l="1"/>
  <c r="K180" i="8" s="1"/>
  <c r="H184" i="8"/>
  <c r="I180" i="8"/>
  <c r="J182" i="8"/>
  <c r="K182" i="8" s="1"/>
  <c r="I182" i="8"/>
  <c r="I181" i="8"/>
  <c r="J181" i="8"/>
  <c r="K181" i="8" s="1"/>
  <c r="E174" i="8"/>
  <c r="J184" i="8" l="1"/>
  <c r="K184" i="8" s="1"/>
  <c r="I184" i="8"/>
  <c r="E173" i="8"/>
  <c r="P111" i="8" l="1"/>
  <c r="P112" i="8"/>
  <c r="P113" i="8"/>
  <c r="E171" i="8"/>
  <c r="O112" i="8" s="1"/>
  <c r="E170" i="8"/>
  <c r="N111" i="8" s="1"/>
  <c r="D172" i="8"/>
  <c r="I111" i="8"/>
  <c r="I113" i="8"/>
  <c r="D6" i="8"/>
  <c r="F6" i="8"/>
  <c r="D7" i="8"/>
  <c r="F7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F10" i="8"/>
  <c r="F13" i="8"/>
  <c r="F14" i="8"/>
  <c r="F15" i="8"/>
  <c r="F16" i="8"/>
  <c r="F18" i="8"/>
  <c r="F19" i="8"/>
  <c r="F20" i="8"/>
  <c r="F21" i="8"/>
  <c r="F23" i="8"/>
  <c r="F26" i="8"/>
  <c r="F27" i="8"/>
  <c r="F28" i="8"/>
  <c r="F29" i="8"/>
  <c r="F30" i="8"/>
  <c r="F31" i="8"/>
  <c r="F34" i="8"/>
  <c r="F36" i="8"/>
  <c r="F37" i="8"/>
  <c r="F38" i="8"/>
  <c r="F41" i="8"/>
  <c r="F42" i="8"/>
  <c r="F44" i="8"/>
  <c r="F46" i="8"/>
  <c r="F47" i="8"/>
  <c r="F49" i="8"/>
  <c r="F51" i="8"/>
  <c r="F52" i="8"/>
  <c r="F53" i="8"/>
  <c r="F55" i="8"/>
  <c r="F56" i="8"/>
  <c r="F57" i="8"/>
  <c r="F58" i="8"/>
  <c r="F59" i="8"/>
  <c r="F60" i="8"/>
  <c r="F61" i="8"/>
  <c r="D62" i="8"/>
  <c r="F62" i="8"/>
  <c r="D63" i="8"/>
  <c r="F63" i="8"/>
  <c r="D64" i="8"/>
  <c r="F64" i="8"/>
  <c r="F65" i="8"/>
  <c r="D66" i="8"/>
  <c r="F66" i="8"/>
  <c r="D67" i="8"/>
  <c r="F67" i="8"/>
  <c r="D68" i="8"/>
  <c r="F68" i="8"/>
  <c r="D69" i="8"/>
  <c r="F69" i="8"/>
  <c r="D70" i="8"/>
  <c r="F70" i="8"/>
  <c r="D71" i="8"/>
  <c r="F71" i="8"/>
  <c r="F72" i="8"/>
  <c r="D73" i="8"/>
  <c r="F73" i="8"/>
  <c r="D74" i="8"/>
  <c r="F74" i="8"/>
  <c r="D75" i="8"/>
  <c r="F75" i="8"/>
  <c r="D76" i="8"/>
  <c r="F76" i="8"/>
  <c r="F77" i="8"/>
  <c r="D78" i="8"/>
  <c r="F78" i="8"/>
  <c r="D79" i="8"/>
  <c r="F79" i="8"/>
  <c r="D80" i="8"/>
  <c r="F80" i="8"/>
  <c r="D81" i="8"/>
  <c r="F81" i="8"/>
  <c r="F82" i="8"/>
  <c r="D83" i="8"/>
  <c r="F83" i="8"/>
  <c r="F84" i="8"/>
  <c r="D85" i="8"/>
  <c r="F85" i="8"/>
  <c r="F86" i="8"/>
  <c r="D87" i="8"/>
  <c r="F87" i="8"/>
  <c r="D88" i="8"/>
  <c r="F88" i="8"/>
  <c r="D89" i="8"/>
  <c r="F89" i="8"/>
  <c r="D90" i="8"/>
  <c r="F90" i="8"/>
  <c r="D91" i="8"/>
  <c r="F91" i="8"/>
  <c r="D92" i="8"/>
  <c r="F92" i="8"/>
  <c r="D93" i="8"/>
  <c r="F93" i="8"/>
  <c r="D94" i="8"/>
  <c r="F94" i="8"/>
  <c r="D95" i="8"/>
  <c r="F95" i="8"/>
  <c r="D96" i="8"/>
  <c r="F96" i="8"/>
  <c r="D97" i="8"/>
  <c r="F97" i="8"/>
  <c r="D98" i="8"/>
  <c r="F98" i="8"/>
  <c r="D99" i="8"/>
  <c r="F99" i="8"/>
  <c r="D100" i="8"/>
  <c r="F100" i="8"/>
  <c r="D101" i="8"/>
  <c r="F101" i="8"/>
  <c r="D102" i="8"/>
  <c r="F102" i="8"/>
  <c r="D103" i="8"/>
  <c r="F103" i="8"/>
  <c r="D104" i="8"/>
  <c r="F104" i="8"/>
  <c r="D105" i="8"/>
  <c r="F105" i="8"/>
  <c r="D106" i="8"/>
  <c r="F106" i="8"/>
  <c r="D107" i="8"/>
  <c r="F107" i="8"/>
  <c r="D108" i="8"/>
  <c r="F108" i="8"/>
  <c r="O111" i="8" l="1"/>
  <c r="O113" i="8"/>
  <c r="N113" i="8"/>
  <c r="H103" i="8"/>
  <c r="N112" i="8"/>
  <c r="H108" i="8"/>
  <c r="H68" i="8"/>
  <c r="H100" i="8"/>
  <c r="H107" i="8"/>
  <c r="H96" i="8"/>
  <c r="H92" i="8"/>
  <c r="H88" i="8"/>
  <c r="H76" i="8"/>
  <c r="H104" i="8"/>
  <c r="H99" i="8"/>
  <c r="H102" i="8"/>
  <c r="H64" i="8"/>
  <c r="H105" i="8"/>
  <c r="H97" i="8"/>
  <c r="H80" i="8"/>
  <c r="H106" i="8"/>
  <c r="H101" i="8"/>
  <c r="H98" i="8"/>
  <c r="H93" i="8"/>
  <c r="H85" i="8"/>
  <c r="H81" i="8"/>
  <c r="H73" i="8"/>
  <c r="H69" i="8"/>
  <c r="H89" i="8"/>
  <c r="H94" i="8"/>
  <c r="H90" i="8"/>
  <c r="H78" i="8"/>
  <c r="H70" i="8"/>
  <c r="H66" i="8"/>
  <c r="H95" i="8"/>
  <c r="H91" i="8"/>
  <c r="H87" i="8"/>
  <c r="H83" i="8"/>
  <c r="H79" i="8"/>
  <c r="H75" i="8"/>
  <c r="H71" i="8"/>
  <c r="H67" i="8"/>
  <c r="H63" i="8"/>
  <c r="H74" i="8"/>
  <c r="H62" i="8"/>
  <c r="C112" i="8"/>
  <c r="E112" i="8"/>
  <c r="G112" i="8"/>
  <c r="B16" i="9" l="1"/>
  <c r="B15" i="9"/>
  <c r="B14" i="9"/>
  <c r="B6" i="9"/>
  <c r="F6" i="9" s="1"/>
  <c r="B5" i="9"/>
  <c r="F5" i="9" s="1"/>
  <c r="B4" i="9"/>
  <c r="F4" i="9" s="1"/>
  <c r="B7" i="9"/>
  <c r="F7" i="9" s="1"/>
  <c r="E7" i="9"/>
  <c r="E6" i="9"/>
  <c r="E5" i="9"/>
  <c r="E4" i="9"/>
  <c r="G5" i="9" l="1"/>
  <c r="H5" i="9" s="1"/>
  <c r="G4" i="9"/>
  <c r="H4" i="9" s="1"/>
  <c r="J4" i="9" s="1"/>
  <c r="K4" i="9" s="1"/>
  <c r="G6" i="9"/>
  <c r="H6" i="9" s="1"/>
  <c r="J6" i="9" s="1"/>
  <c r="K6" i="9"/>
  <c r="J5" i="9"/>
  <c r="H14" i="9"/>
  <c r="K5" i="9"/>
  <c r="G7" i="9"/>
  <c r="H7" i="9" s="1"/>
  <c r="J7" i="9" s="1"/>
  <c r="C138" i="8"/>
  <c r="C135" i="8"/>
  <c r="C127" i="8"/>
  <c r="F8" i="8" l="1"/>
  <c r="F17" i="8"/>
  <c r="F12" i="8"/>
  <c r="F22" i="8"/>
  <c r="F24" i="8"/>
  <c r="F32" i="8"/>
  <c r="F40" i="8"/>
  <c r="F48" i="8"/>
  <c r="F50" i="8"/>
  <c r="F54" i="8"/>
  <c r="F9" i="8"/>
  <c r="F11" i="8"/>
  <c r="F25" i="8"/>
  <c r="F33" i="8"/>
  <c r="F35" i="8"/>
  <c r="F39" i="8"/>
  <c r="F43" i="8"/>
  <c r="F45" i="8"/>
  <c r="D12" i="8"/>
  <c r="D14" i="8"/>
  <c r="D16" i="8"/>
  <c r="D18" i="8"/>
  <c r="D20" i="8"/>
  <c r="D22" i="8"/>
  <c r="D24" i="8"/>
  <c r="D26" i="8"/>
  <c r="D28" i="8"/>
  <c r="D30" i="8"/>
  <c r="D32" i="8"/>
  <c r="D34" i="8"/>
  <c r="D36" i="8"/>
  <c r="D38" i="8"/>
  <c r="D40" i="8"/>
  <c r="D42" i="8"/>
  <c r="D44" i="8"/>
  <c r="D46" i="8"/>
  <c r="D48" i="8"/>
  <c r="D50" i="8"/>
  <c r="D52" i="8"/>
  <c r="D54" i="8"/>
  <c r="D56" i="8"/>
  <c r="D58" i="8"/>
  <c r="D60" i="8"/>
  <c r="D72" i="8"/>
  <c r="D82" i="8"/>
  <c r="D84" i="8"/>
  <c r="D86" i="8"/>
  <c r="D8" i="8"/>
  <c r="D9" i="8"/>
  <c r="D11" i="8"/>
  <c r="D10" i="8"/>
  <c r="D13" i="8"/>
  <c r="D15" i="8"/>
  <c r="D17" i="8"/>
  <c r="D19" i="8"/>
  <c r="D21" i="8"/>
  <c r="D23" i="8"/>
  <c r="D25" i="8"/>
  <c r="D27" i="8"/>
  <c r="D29" i="8"/>
  <c r="D31" i="8"/>
  <c r="D33" i="8"/>
  <c r="D35" i="8"/>
  <c r="D37" i="8"/>
  <c r="D39" i="8"/>
  <c r="D41" i="8"/>
  <c r="D43" i="8"/>
  <c r="D45" i="8"/>
  <c r="D47" i="8"/>
  <c r="D49" i="8"/>
  <c r="D51" i="8"/>
  <c r="D53" i="8"/>
  <c r="D55" i="8"/>
  <c r="D57" i="8"/>
  <c r="D59" i="8"/>
  <c r="D61" i="8"/>
  <c r="D65" i="8"/>
  <c r="D77" i="8"/>
  <c r="U58" i="8"/>
  <c r="U65" i="8"/>
  <c r="U14" i="8"/>
  <c r="U26" i="8"/>
  <c r="U10" i="8"/>
  <c r="U38" i="8"/>
  <c r="U40" i="8"/>
  <c r="U54" i="8"/>
  <c r="U16" i="8"/>
  <c r="U56" i="8"/>
  <c r="U18" i="8"/>
  <c r="U84" i="8"/>
  <c r="U32" i="8"/>
  <c r="W39" i="8"/>
  <c r="U34" i="8"/>
  <c r="U22" i="8"/>
  <c r="U42" i="8"/>
  <c r="U77" i="8"/>
  <c r="U24" i="8"/>
  <c r="U46" i="8"/>
  <c r="U72" i="8"/>
  <c r="U48" i="8"/>
  <c r="U8" i="8"/>
  <c r="U30" i="8"/>
  <c r="U50" i="8"/>
  <c r="W17" i="8"/>
  <c r="W40" i="8"/>
  <c r="U9" i="8"/>
  <c r="U17" i="8"/>
  <c r="U25" i="8"/>
  <c r="U33" i="8"/>
  <c r="U41" i="8"/>
  <c r="U49" i="8"/>
  <c r="U57" i="8"/>
  <c r="U82" i="8"/>
  <c r="W22" i="8"/>
  <c r="W43" i="8"/>
  <c r="W48" i="8"/>
  <c r="U11" i="8"/>
  <c r="U19" i="8"/>
  <c r="U27" i="8"/>
  <c r="U35" i="8"/>
  <c r="U43" i="8"/>
  <c r="U51" i="8"/>
  <c r="U59" i="8"/>
  <c r="U86" i="8"/>
  <c r="W25" i="8"/>
  <c r="W50" i="8"/>
  <c r="W24" i="8"/>
  <c r="U12" i="8"/>
  <c r="U20" i="8"/>
  <c r="U28" i="8"/>
  <c r="U36" i="8"/>
  <c r="U44" i="8"/>
  <c r="U52" i="8"/>
  <c r="U60" i="8"/>
  <c r="W8" i="8"/>
  <c r="W32" i="8"/>
  <c r="W54" i="8"/>
  <c r="U13" i="8"/>
  <c r="U21" i="8"/>
  <c r="U29" i="8"/>
  <c r="U37" i="8"/>
  <c r="U45" i="8"/>
  <c r="U53" i="8"/>
  <c r="U61" i="8"/>
  <c r="W9" i="8"/>
  <c r="W33" i="8"/>
  <c r="W45" i="8"/>
  <c r="W11" i="8"/>
  <c r="W35" i="8"/>
  <c r="U15" i="8"/>
  <c r="U23" i="8"/>
  <c r="U31" i="8"/>
  <c r="U39" i="8"/>
  <c r="U47" i="8"/>
  <c r="U55" i="8"/>
  <c r="W12" i="8"/>
  <c r="Y108" i="8"/>
  <c r="Y107" i="8"/>
  <c r="Y106" i="8"/>
  <c r="Y7" i="8"/>
  <c r="C152" i="8"/>
  <c r="G152" i="8" s="1"/>
  <c r="V40" i="8"/>
  <c r="V93" i="8"/>
  <c r="V91" i="8"/>
  <c r="V90" i="8"/>
  <c r="V88" i="8"/>
  <c r="V87" i="8"/>
  <c r="V86" i="8"/>
  <c r="V85" i="8"/>
  <c r="V84" i="8"/>
  <c r="V82" i="8"/>
  <c r="V81" i="8"/>
  <c r="V80" i="8"/>
  <c r="V78" i="8"/>
  <c r="V77" i="8"/>
  <c r="V75" i="8"/>
  <c r="V74" i="8"/>
  <c r="V72" i="8"/>
  <c r="V67" i="8"/>
  <c r="V66" i="8"/>
  <c r="V65" i="8"/>
  <c r="V64" i="8"/>
  <c r="V63" i="8"/>
  <c r="V62" i="8"/>
  <c r="V61" i="8"/>
  <c r="V60" i="8"/>
  <c r="V57" i="8"/>
  <c r="V53" i="8"/>
  <c r="V51" i="8"/>
  <c r="V48" i="8"/>
  <c r="V47" i="8"/>
  <c r="V46" i="8"/>
  <c r="V44" i="8"/>
  <c r="V42" i="8"/>
  <c r="V38" i="8"/>
  <c r="V37" i="8"/>
  <c r="V33" i="8"/>
  <c r="V32" i="8"/>
  <c r="V28" i="8"/>
  <c r="V27" i="8"/>
  <c r="V24" i="8"/>
  <c r="V23" i="8"/>
  <c r="V20" i="8"/>
  <c r="V19" i="8"/>
  <c r="V18" i="8"/>
  <c r="V17" i="8"/>
  <c r="V16" i="8"/>
  <c r="V14" i="8"/>
  <c r="V13" i="8"/>
  <c r="V12" i="8"/>
  <c r="V11" i="8"/>
  <c r="V10" i="8"/>
  <c r="V9" i="8"/>
  <c r="V8" i="8"/>
  <c r="E120" i="8"/>
  <c r="E119" i="8"/>
  <c r="E118" i="8"/>
  <c r="E117" i="8"/>
  <c r="C122" i="8"/>
  <c r="D117" i="8" s="1"/>
  <c r="D145" i="8" l="1"/>
  <c r="F145" i="8" s="1"/>
  <c r="G157" i="8"/>
  <c r="I51" i="8" s="1"/>
  <c r="I84" i="8"/>
  <c r="I42" i="8"/>
  <c r="I55" i="8"/>
  <c r="I82" i="8"/>
  <c r="I56" i="8"/>
  <c r="I45" i="8"/>
  <c r="I21" i="8"/>
  <c r="I54" i="8"/>
  <c r="I46" i="8"/>
  <c r="I22" i="8"/>
  <c r="H50" i="8"/>
  <c r="H65" i="8"/>
  <c r="H55" i="8"/>
  <c r="H47" i="8"/>
  <c r="H39" i="8"/>
  <c r="H31" i="8"/>
  <c r="H23" i="8"/>
  <c r="H15" i="8"/>
  <c r="H82" i="8"/>
  <c r="H56" i="8"/>
  <c r="H48" i="8"/>
  <c r="H24" i="8"/>
  <c r="H16" i="8"/>
  <c r="H61" i="8"/>
  <c r="H53" i="8"/>
  <c r="H37" i="8"/>
  <c r="H29" i="8"/>
  <c r="H21" i="8"/>
  <c r="H13" i="8"/>
  <c r="H72" i="8"/>
  <c r="H59" i="8"/>
  <c r="H51" i="8"/>
  <c r="H43" i="8"/>
  <c r="H35" i="8"/>
  <c r="H27" i="8"/>
  <c r="H19" i="8"/>
  <c r="H86" i="8"/>
  <c r="H60" i="8"/>
  <c r="H52" i="8"/>
  <c r="H44" i="8"/>
  <c r="H36" i="8"/>
  <c r="H28" i="8"/>
  <c r="H20" i="8"/>
  <c r="H77" i="8"/>
  <c r="H57" i="8"/>
  <c r="H49" i="8"/>
  <c r="H41" i="8"/>
  <c r="H33" i="8"/>
  <c r="H25" i="8"/>
  <c r="H17" i="8"/>
  <c r="H84" i="8"/>
  <c r="H58" i="8"/>
  <c r="H42" i="8"/>
  <c r="H34" i="8"/>
  <c r="H26" i="8"/>
  <c r="H18" i="8"/>
  <c r="H46" i="8"/>
  <c r="H38" i="8"/>
  <c r="H30" i="8"/>
  <c r="H22" i="8"/>
  <c r="H14" i="8"/>
  <c r="H12" i="8"/>
  <c r="H9" i="8"/>
  <c r="H40" i="8"/>
  <c r="H32" i="8"/>
  <c r="H10" i="8"/>
  <c r="H11" i="8"/>
  <c r="H45" i="8"/>
  <c r="H8" i="8"/>
  <c r="H54" i="8"/>
  <c r="F112" i="8"/>
  <c r="I112" i="8" s="1"/>
  <c r="D149" i="8"/>
  <c r="F149" i="8" s="1"/>
  <c r="F117" i="8"/>
  <c r="U110" i="8"/>
  <c r="V110" i="8"/>
  <c r="D150" i="8"/>
  <c r="F150" i="8" s="1"/>
  <c r="D151" i="8"/>
  <c r="F151" i="8" s="1"/>
  <c r="D142" i="8"/>
  <c r="F142" i="8" s="1"/>
  <c r="D118" i="8"/>
  <c r="F118" i="8" s="1"/>
  <c r="D119" i="8"/>
  <c r="F119" i="8" s="1"/>
  <c r="D120" i="8"/>
  <c r="F120" i="8" s="1"/>
  <c r="D121" i="8"/>
  <c r="F121" i="8" s="1"/>
  <c r="I11" i="8" l="1"/>
  <c r="I32" i="8"/>
  <c r="I13" i="8"/>
  <c r="J13" i="8" s="1"/>
  <c r="L13" i="8" s="1"/>
  <c r="I23" i="8"/>
  <c r="I41" i="8"/>
  <c r="I31" i="8"/>
  <c r="J31" i="8" s="1"/>
  <c r="L31" i="8" s="1"/>
  <c r="I77" i="8"/>
  <c r="K77" i="8" s="1"/>
  <c r="M77" i="8" s="1"/>
  <c r="R77" i="8" s="1"/>
  <c r="I53" i="8"/>
  <c r="J53" i="8" s="1"/>
  <c r="L53" i="8" s="1"/>
  <c r="I65" i="8"/>
  <c r="J65" i="8" s="1"/>
  <c r="L65" i="8" s="1"/>
  <c r="I14" i="8"/>
  <c r="J14" i="8" s="1"/>
  <c r="L14" i="8" s="1"/>
  <c r="I24" i="8"/>
  <c r="J24" i="8" s="1"/>
  <c r="L24" i="8" s="1"/>
  <c r="I34" i="8"/>
  <c r="J34" i="8" s="1"/>
  <c r="L34" i="8" s="1"/>
  <c r="I20" i="8"/>
  <c r="K20" i="8" s="1"/>
  <c r="M20" i="8" s="1"/>
  <c r="R20" i="8" s="1"/>
  <c r="I52" i="8"/>
  <c r="J52" i="8" s="1"/>
  <c r="L52" i="8" s="1"/>
  <c r="I19" i="8"/>
  <c r="J19" i="8" s="1"/>
  <c r="L19" i="8" s="1"/>
  <c r="I33" i="8"/>
  <c r="J33" i="8" s="1"/>
  <c r="L33" i="8" s="1"/>
  <c r="K14" i="8"/>
  <c r="M14" i="8" s="1"/>
  <c r="R14" i="8" s="1"/>
  <c r="K46" i="8"/>
  <c r="M46" i="8" s="1"/>
  <c r="R46" i="8" s="1"/>
  <c r="J46" i="8"/>
  <c r="L46" i="8" s="1"/>
  <c r="J45" i="8"/>
  <c r="L45" i="8" s="1"/>
  <c r="K45" i="8"/>
  <c r="M45" i="8" s="1"/>
  <c r="R45" i="8" s="1"/>
  <c r="J56" i="8"/>
  <c r="L56" i="8" s="1"/>
  <c r="K56" i="8"/>
  <c r="M56" i="8" s="1"/>
  <c r="R56" i="8" s="1"/>
  <c r="J23" i="8"/>
  <c r="L23" i="8" s="1"/>
  <c r="K23" i="8"/>
  <c r="M23" i="8" s="1"/>
  <c r="R23" i="8" s="1"/>
  <c r="J55" i="8"/>
  <c r="L55" i="8" s="1"/>
  <c r="K55" i="8"/>
  <c r="M55" i="8" s="1"/>
  <c r="R55" i="8" s="1"/>
  <c r="J84" i="8"/>
  <c r="L84" i="8" s="1"/>
  <c r="K84" i="8"/>
  <c r="M84" i="8" s="1"/>
  <c r="R84" i="8" s="1"/>
  <c r="J20" i="8"/>
  <c r="L20" i="8" s="1"/>
  <c r="J51" i="8"/>
  <c r="L51" i="8" s="1"/>
  <c r="K51" i="8"/>
  <c r="M51" i="8" s="1"/>
  <c r="R51" i="8" s="1"/>
  <c r="K22" i="8"/>
  <c r="M22" i="8" s="1"/>
  <c r="R22" i="8" s="1"/>
  <c r="J22" i="8"/>
  <c r="L22" i="8" s="1"/>
  <c r="K54" i="8"/>
  <c r="M54" i="8" s="1"/>
  <c r="R54" i="8" s="1"/>
  <c r="J54" i="8"/>
  <c r="L54" i="8" s="1"/>
  <c r="J21" i="8"/>
  <c r="L21" i="8" s="1"/>
  <c r="K21" i="8"/>
  <c r="M21" i="8" s="1"/>
  <c r="R21" i="8" s="1"/>
  <c r="J32" i="8"/>
  <c r="L32" i="8" s="1"/>
  <c r="K32" i="8"/>
  <c r="M32" i="8" s="1"/>
  <c r="R32" i="8" s="1"/>
  <c r="K82" i="8"/>
  <c r="M82" i="8" s="1"/>
  <c r="R82" i="8" s="1"/>
  <c r="J82" i="8"/>
  <c r="L82" i="8" s="1"/>
  <c r="J42" i="8"/>
  <c r="L42" i="8" s="1"/>
  <c r="K42" i="8"/>
  <c r="M42" i="8" s="1"/>
  <c r="R42" i="8" s="1"/>
  <c r="J11" i="8"/>
  <c r="L11" i="8" s="1"/>
  <c r="K11" i="8"/>
  <c r="M11" i="8" s="1"/>
  <c r="R11" i="8" s="1"/>
  <c r="J41" i="8"/>
  <c r="L41" i="8" s="1"/>
  <c r="K41" i="8"/>
  <c r="M41" i="8" s="1"/>
  <c r="R41" i="8" s="1"/>
  <c r="I94" i="8"/>
  <c r="I76" i="8"/>
  <c r="I98" i="8"/>
  <c r="I100" i="8"/>
  <c r="I63" i="8"/>
  <c r="I96" i="8"/>
  <c r="I83" i="8"/>
  <c r="I108" i="8"/>
  <c r="I92" i="8"/>
  <c r="I102" i="8"/>
  <c r="I79" i="8"/>
  <c r="I74" i="8"/>
  <c r="I81" i="8"/>
  <c r="I62" i="8"/>
  <c r="I69" i="8"/>
  <c r="I103" i="8"/>
  <c r="I93" i="8"/>
  <c r="I75" i="8"/>
  <c r="I70" i="8"/>
  <c r="I68" i="8"/>
  <c r="I80" i="8"/>
  <c r="I67" i="8"/>
  <c r="I101" i="8"/>
  <c r="I91" i="8"/>
  <c r="I73" i="8"/>
  <c r="I106" i="8"/>
  <c r="I85" i="8"/>
  <c r="I66" i="8"/>
  <c r="I78" i="8"/>
  <c r="I107" i="8"/>
  <c r="I97" i="8"/>
  <c r="I89" i="8"/>
  <c r="I104" i="8"/>
  <c r="I90" i="8"/>
  <c r="I105" i="8"/>
  <c r="I99" i="8"/>
  <c r="I95" i="8"/>
  <c r="I64" i="8"/>
  <c r="I87" i="8"/>
  <c r="I71" i="8"/>
  <c r="I88" i="8"/>
  <c r="I28" i="8"/>
  <c r="I60" i="8"/>
  <c r="I27" i="8"/>
  <c r="I59" i="8"/>
  <c r="I30" i="8"/>
  <c r="I72" i="8"/>
  <c r="I29" i="8"/>
  <c r="I61" i="8"/>
  <c r="I40" i="8"/>
  <c r="I9" i="8"/>
  <c r="I39" i="8"/>
  <c r="I18" i="8"/>
  <c r="I50" i="8"/>
  <c r="I17" i="8"/>
  <c r="I49" i="8"/>
  <c r="I36" i="8"/>
  <c r="I86" i="8"/>
  <c r="I35" i="8"/>
  <c r="I110" i="8"/>
  <c r="I38" i="8"/>
  <c r="I8" i="8"/>
  <c r="I37" i="8"/>
  <c r="I16" i="8"/>
  <c r="I48" i="8"/>
  <c r="I15" i="8"/>
  <c r="I47" i="8"/>
  <c r="I26" i="8"/>
  <c r="I58" i="8"/>
  <c r="I25" i="8"/>
  <c r="I57" i="8"/>
  <c r="I12" i="8"/>
  <c r="I44" i="8"/>
  <c r="I10" i="8"/>
  <c r="I43" i="8"/>
  <c r="H110" i="8"/>
  <c r="C2" i="8" s="1"/>
  <c r="F152" i="8"/>
  <c r="D152" i="8"/>
  <c r="W110" i="8"/>
  <c r="F122" i="8"/>
  <c r="T62" i="8" s="1"/>
  <c r="D122" i="8"/>
  <c r="K13" i="8" l="1"/>
  <c r="M13" i="8" s="1"/>
  <c r="R13" i="8" s="1"/>
  <c r="K24" i="8"/>
  <c r="M24" i="8" s="1"/>
  <c r="R24" i="8" s="1"/>
  <c r="J77" i="8"/>
  <c r="L77" i="8" s="1"/>
  <c r="K33" i="8"/>
  <c r="M33" i="8" s="1"/>
  <c r="R33" i="8" s="1"/>
  <c r="K53" i="8"/>
  <c r="M53" i="8" s="1"/>
  <c r="K19" i="8"/>
  <c r="M19" i="8" s="1"/>
  <c r="K34" i="8"/>
  <c r="M34" i="8" s="1"/>
  <c r="K31" i="8"/>
  <c r="M31" i="8" s="1"/>
  <c r="K65" i="8"/>
  <c r="M65" i="8" s="1"/>
  <c r="K52" i="8"/>
  <c r="M52" i="8" s="1"/>
  <c r="Q53" i="8"/>
  <c r="N77" i="8"/>
  <c r="Q77" i="8"/>
  <c r="N55" i="8"/>
  <c r="Q55" i="8"/>
  <c r="N45" i="8"/>
  <c r="Q45" i="8"/>
  <c r="N82" i="8"/>
  <c r="Q82" i="8"/>
  <c r="N41" i="8"/>
  <c r="Q41" i="8"/>
  <c r="N42" i="8"/>
  <c r="Q42" i="8"/>
  <c r="N32" i="8"/>
  <c r="Q32" i="8"/>
  <c r="N21" i="8"/>
  <c r="Q21" i="8"/>
  <c r="N20" i="8"/>
  <c r="Q20" i="8"/>
  <c r="N33" i="8"/>
  <c r="Q33" i="8"/>
  <c r="N23" i="8"/>
  <c r="Q23" i="8"/>
  <c r="N24" i="8"/>
  <c r="Q24" i="8"/>
  <c r="N13" i="8"/>
  <c r="Q13" i="8"/>
  <c r="N14" i="8"/>
  <c r="Q14" i="8"/>
  <c r="N11" i="8"/>
  <c r="Q11" i="8"/>
  <c r="N51" i="8"/>
  <c r="Q51" i="8"/>
  <c r="N84" i="8"/>
  <c r="Q84" i="8"/>
  <c r="N56" i="8"/>
  <c r="Q56" i="8"/>
  <c r="O11" i="8"/>
  <c r="N54" i="8"/>
  <c r="Q54" i="8"/>
  <c r="N46" i="8"/>
  <c r="Q46" i="8"/>
  <c r="P11" i="8"/>
  <c r="N22" i="8"/>
  <c r="Q22" i="8"/>
  <c r="J44" i="8"/>
  <c r="L44" i="8" s="1"/>
  <c r="K44" i="8"/>
  <c r="M44" i="8" s="1"/>
  <c r="R44" i="8" s="1"/>
  <c r="J58" i="8"/>
  <c r="L58" i="8" s="1"/>
  <c r="K58" i="8"/>
  <c r="M58" i="8" s="1"/>
  <c r="R58" i="8" s="1"/>
  <c r="J48" i="8"/>
  <c r="L48" i="8" s="1"/>
  <c r="K48" i="8"/>
  <c r="M48" i="8" s="1"/>
  <c r="K38" i="8"/>
  <c r="M38" i="8" s="1"/>
  <c r="R38" i="8" s="1"/>
  <c r="J38" i="8"/>
  <c r="L38" i="8" s="1"/>
  <c r="K36" i="8"/>
  <c r="M36" i="8" s="1"/>
  <c r="R36" i="8" s="1"/>
  <c r="J36" i="8"/>
  <c r="L36" i="8" s="1"/>
  <c r="J18" i="8"/>
  <c r="L18" i="8" s="1"/>
  <c r="K18" i="8"/>
  <c r="M18" i="8" s="1"/>
  <c r="J61" i="8"/>
  <c r="L61" i="8" s="1"/>
  <c r="K61" i="8"/>
  <c r="M61" i="8" s="1"/>
  <c r="J59" i="8"/>
  <c r="L59" i="8" s="1"/>
  <c r="K59" i="8"/>
  <c r="M59" i="8" s="1"/>
  <c r="J88" i="8"/>
  <c r="L88" i="8" s="1"/>
  <c r="K88" i="8"/>
  <c r="M88" i="8" s="1"/>
  <c r="K95" i="8"/>
  <c r="M95" i="8" s="1"/>
  <c r="J95" i="8"/>
  <c r="L95" i="8" s="1"/>
  <c r="J104" i="8"/>
  <c r="L104" i="8" s="1"/>
  <c r="K104" i="8"/>
  <c r="M104" i="8" s="1"/>
  <c r="J78" i="8"/>
  <c r="L78" i="8" s="1"/>
  <c r="K78" i="8"/>
  <c r="M78" i="8" s="1"/>
  <c r="J73" i="8"/>
  <c r="L73" i="8" s="1"/>
  <c r="K73" i="8"/>
  <c r="M73" i="8" s="1"/>
  <c r="J80" i="8"/>
  <c r="L80" i="8" s="1"/>
  <c r="K80" i="8"/>
  <c r="M80" i="8" s="1"/>
  <c r="K93" i="8"/>
  <c r="M93" i="8" s="1"/>
  <c r="J93" i="8"/>
  <c r="L93" i="8" s="1"/>
  <c r="J81" i="8"/>
  <c r="L81" i="8" s="1"/>
  <c r="K81" i="8"/>
  <c r="M81" i="8" s="1"/>
  <c r="J92" i="8"/>
  <c r="L92" i="8" s="1"/>
  <c r="K92" i="8"/>
  <c r="M92" i="8" s="1"/>
  <c r="K63" i="8"/>
  <c r="M63" i="8" s="1"/>
  <c r="J63" i="8"/>
  <c r="L63" i="8" s="1"/>
  <c r="J94" i="8"/>
  <c r="L94" i="8" s="1"/>
  <c r="K94" i="8"/>
  <c r="M94" i="8" s="1"/>
  <c r="J12" i="8"/>
  <c r="L12" i="8" s="1"/>
  <c r="K12" i="8"/>
  <c r="M12" i="8" s="1"/>
  <c r="K26" i="8"/>
  <c r="M26" i="8" s="1"/>
  <c r="R26" i="8" s="1"/>
  <c r="J26" i="8"/>
  <c r="L26" i="8" s="1"/>
  <c r="J16" i="8"/>
  <c r="L16" i="8" s="1"/>
  <c r="K16" i="8"/>
  <c r="M16" i="8" s="1"/>
  <c r="J110" i="8"/>
  <c r="L110" i="8" s="1"/>
  <c r="K110" i="8"/>
  <c r="C4" i="8" s="1"/>
  <c r="J49" i="8"/>
  <c r="L49" i="8" s="1"/>
  <c r="K49" i="8"/>
  <c r="M49" i="8" s="1"/>
  <c r="J39" i="8"/>
  <c r="L39" i="8" s="1"/>
  <c r="K39" i="8"/>
  <c r="M39" i="8" s="1"/>
  <c r="R39" i="8" s="1"/>
  <c r="K29" i="8"/>
  <c r="M29" i="8" s="1"/>
  <c r="R29" i="8" s="1"/>
  <c r="J29" i="8"/>
  <c r="L29" i="8" s="1"/>
  <c r="J27" i="8"/>
  <c r="L27" i="8" s="1"/>
  <c r="K27" i="8"/>
  <c r="M27" i="8" s="1"/>
  <c r="R27" i="8" s="1"/>
  <c r="J71" i="8"/>
  <c r="L71" i="8" s="1"/>
  <c r="K71" i="8"/>
  <c r="M71" i="8" s="1"/>
  <c r="J99" i="8"/>
  <c r="L99" i="8" s="1"/>
  <c r="K99" i="8"/>
  <c r="M99" i="8" s="1"/>
  <c r="J89" i="8"/>
  <c r="L89" i="8" s="1"/>
  <c r="K89" i="8"/>
  <c r="M89" i="8" s="1"/>
  <c r="K66" i="8"/>
  <c r="M66" i="8" s="1"/>
  <c r="J66" i="8"/>
  <c r="L66" i="8" s="1"/>
  <c r="J91" i="8"/>
  <c r="L91" i="8" s="1"/>
  <c r="K91" i="8"/>
  <c r="M91" i="8" s="1"/>
  <c r="J68" i="8"/>
  <c r="L68" i="8" s="1"/>
  <c r="K68" i="8"/>
  <c r="M68" i="8" s="1"/>
  <c r="J103" i="8"/>
  <c r="L103" i="8" s="1"/>
  <c r="K103" i="8"/>
  <c r="M103" i="8" s="1"/>
  <c r="K74" i="8"/>
  <c r="M74" i="8" s="1"/>
  <c r="J74" i="8"/>
  <c r="L74" i="8" s="1"/>
  <c r="J108" i="8"/>
  <c r="L108" i="8" s="1"/>
  <c r="K108" i="8"/>
  <c r="M108" i="8" s="1"/>
  <c r="J100" i="8"/>
  <c r="L100" i="8" s="1"/>
  <c r="K100" i="8"/>
  <c r="M100" i="8" s="1"/>
  <c r="J43" i="8"/>
  <c r="L43" i="8" s="1"/>
  <c r="K43" i="8"/>
  <c r="M43" i="8" s="1"/>
  <c r="J57" i="8"/>
  <c r="L57" i="8" s="1"/>
  <c r="K57" i="8"/>
  <c r="M57" i="8" s="1"/>
  <c r="J47" i="8"/>
  <c r="L47" i="8" s="1"/>
  <c r="K47" i="8"/>
  <c r="M47" i="8" s="1"/>
  <c r="J37" i="8"/>
  <c r="L37" i="8" s="1"/>
  <c r="K37" i="8"/>
  <c r="M37" i="8" s="1"/>
  <c r="J35" i="8"/>
  <c r="L35" i="8" s="1"/>
  <c r="K35" i="8"/>
  <c r="M35" i="8" s="1"/>
  <c r="J17" i="8"/>
  <c r="L17" i="8" s="1"/>
  <c r="K17" i="8"/>
  <c r="M17" i="8" s="1"/>
  <c r="R17" i="8" s="1"/>
  <c r="J9" i="8"/>
  <c r="L9" i="8" s="1"/>
  <c r="K9" i="8"/>
  <c r="M9" i="8" s="1"/>
  <c r="K72" i="8"/>
  <c r="M72" i="8" s="1"/>
  <c r="R72" i="8" s="1"/>
  <c r="J72" i="8"/>
  <c r="L72" i="8" s="1"/>
  <c r="J60" i="8"/>
  <c r="L60" i="8" s="1"/>
  <c r="K60" i="8"/>
  <c r="M60" i="8" s="1"/>
  <c r="R60" i="8" s="1"/>
  <c r="J87" i="8"/>
  <c r="L87" i="8" s="1"/>
  <c r="K87" i="8"/>
  <c r="M87" i="8" s="1"/>
  <c r="J105" i="8"/>
  <c r="L105" i="8" s="1"/>
  <c r="K105" i="8"/>
  <c r="M105" i="8" s="1"/>
  <c r="K97" i="8"/>
  <c r="M97" i="8" s="1"/>
  <c r="J97" i="8"/>
  <c r="L97" i="8" s="1"/>
  <c r="J85" i="8"/>
  <c r="L85" i="8" s="1"/>
  <c r="K85" i="8"/>
  <c r="M85" i="8" s="1"/>
  <c r="J101" i="8"/>
  <c r="L101" i="8" s="1"/>
  <c r="K101" i="8"/>
  <c r="M101" i="8" s="1"/>
  <c r="J70" i="8"/>
  <c r="L70" i="8" s="1"/>
  <c r="K70" i="8"/>
  <c r="M70" i="8" s="1"/>
  <c r="J69" i="8"/>
  <c r="L69" i="8" s="1"/>
  <c r="K69" i="8"/>
  <c r="M69" i="8" s="1"/>
  <c r="J79" i="8"/>
  <c r="L79" i="8" s="1"/>
  <c r="K79" i="8"/>
  <c r="M79" i="8" s="1"/>
  <c r="J83" i="8"/>
  <c r="L83" i="8" s="1"/>
  <c r="K83" i="8"/>
  <c r="M83" i="8" s="1"/>
  <c r="J98" i="8"/>
  <c r="L98" i="8" s="1"/>
  <c r="K98" i="8"/>
  <c r="M98" i="8" s="1"/>
  <c r="K10" i="8"/>
  <c r="M10" i="8" s="1"/>
  <c r="J10" i="8"/>
  <c r="L10" i="8" s="1"/>
  <c r="J25" i="8"/>
  <c r="L25" i="8" s="1"/>
  <c r="K25" i="8"/>
  <c r="M25" i="8" s="1"/>
  <c r="J15" i="8"/>
  <c r="L15" i="8" s="1"/>
  <c r="K15" i="8"/>
  <c r="M15" i="8" s="1"/>
  <c r="L8" i="8"/>
  <c r="J86" i="8"/>
  <c r="L86" i="8" s="1"/>
  <c r="K86" i="8"/>
  <c r="M86" i="8" s="1"/>
  <c r="J50" i="8"/>
  <c r="L50" i="8" s="1"/>
  <c r="K50" i="8"/>
  <c r="M50" i="8" s="1"/>
  <c r="K40" i="8"/>
  <c r="M40" i="8" s="1"/>
  <c r="J40" i="8"/>
  <c r="L40" i="8" s="1"/>
  <c r="K30" i="8"/>
  <c r="M30" i="8" s="1"/>
  <c r="R30" i="8" s="1"/>
  <c r="J30" i="8"/>
  <c r="L30" i="8" s="1"/>
  <c r="J28" i="8"/>
  <c r="L28" i="8" s="1"/>
  <c r="K28" i="8"/>
  <c r="M28" i="8" s="1"/>
  <c r="K64" i="8"/>
  <c r="M64" i="8" s="1"/>
  <c r="J64" i="8"/>
  <c r="L64" i="8" s="1"/>
  <c r="K90" i="8"/>
  <c r="M90" i="8" s="1"/>
  <c r="J90" i="8"/>
  <c r="L90" i="8" s="1"/>
  <c r="J107" i="8"/>
  <c r="L107" i="8" s="1"/>
  <c r="K107" i="8"/>
  <c r="M107" i="8" s="1"/>
  <c r="J106" i="8"/>
  <c r="L106" i="8" s="1"/>
  <c r="K106" i="8"/>
  <c r="M106" i="8" s="1"/>
  <c r="J67" i="8"/>
  <c r="L67" i="8" s="1"/>
  <c r="K67" i="8"/>
  <c r="M67" i="8" s="1"/>
  <c r="J75" i="8"/>
  <c r="L75" i="8" s="1"/>
  <c r="K75" i="8"/>
  <c r="M75" i="8" s="1"/>
  <c r="J62" i="8"/>
  <c r="L62" i="8" s="1"/>
  <c r="K62" i="8"/>
  <c r="M62" i="8" s="1"/>
  <c r="J102" i="8"/>
  <c r="L102" i="8" s="1"/>
  <c r="K102" i="8"/>
  <c r="M102" i="8" s="1"/>
  <c r="J96" i="8"/>
  <c r="L96" i="8" s="1"/>
  <c r="K96" i="8"/>
  <c r="M96" i="8" s="1"/>
  <c r="J76" i="8"/>
  <c r="L76" i="8" s="1"/>
  <c r="K76" i="8"/>
  <c r="M76" i="8" s="1"/>
  <c r="O22" i="8"/>
  <c r="P22" i="8"/>
  <c r="O32" i="8"/>
  <c r="P32" i="8"/>
  <c r="O46" i="8"/>
  <c r="P46" i="8"/>
  <c r="O14" i="8"/>
  <c r="P14" i="8"/>
  <c r="O42" i="8"/>
  <c r="P42" i="8"/>
  <c r="P53" i="8"/>
  <c r="O53" i="8"/>
  <c r="P41" i="8"/>
  <c r="O41" i="8"/>
  <c r="O39" i="8"/>
  <c r="P45" i="8"/>
  <c r="O45" i="8"/>
  <c r="P13" i="8"/>
  <c r="O13" i="8"/>
  <c r="P51" i="8"/>
  <c r="O51" i="8"/>
  <c r="P21" i="8"/>
  <c r="O21" i="8"/>
  <c r="O44" i="8"/>
  <c r="O36" i="8"/>
  <c r="O26" i="8"/>
  <c r="P26" i="8"/>
  <c r="P55" i="8"/>
  <c r="O55" i="8"/>
  <c r="P72" i="8"/>
  <c r="O72" i="8"/>
  <c r="O24" i="8"/>
  <c r="P24" i="8"/>
  <c r="O20" i="8"/>
  <c r="P20" i="8"/>
  <c r="O56" i="8"/>
  <c r="P56" i="8"/>
  <c r="O54" i="8"/>
  <c r="P54" i="8"/>
  <c r="O27" i="8"/>
  <c r="P33" i="8"/>
  <c r="O33" i="8"/>
  <c r="P23" i="8"/>
  <c r="O23" i="8"/>
  <c r="O17" i="8"/>
  <c r="P84" i="8"/>
  <c r="O84" i="8"/>
  <c r="O82" i="8"/>
  <c r="P82" i="8"/>
  <c r="O77" i="8"/>
  <c r="P77" i="8"/>
  <c r="X82" i="8"/>
  <c r="Y82" i="8" s="1"/>
  <c r="Z82" i="8" s="1"/>
  <c r="X41" i="8"/>
  <c r="X46" i="8"/>
  <c r="Y46" i="8" s="1"/>
  <c r="Z46" i="8" s="1"/>
  <c r="X20" i="8"/>
  <c r="X9" i="8"/>
  <c r="Y9" i="8" s="1"/>
  <c r="Z9" i="8" s="1"/>
  <c r="X94" i="8"/>
  <c r="Y94" i="8" s="1"/>
  <c r="Z94" i="8" s="1"/>
  <c r="X34" i="8"/>
  <c r="X65" i="8"/>
  <c r="X77" i="8"/>
  <c r="Y77" i="8" s="1"/>
  <c r="Z77" i="8" s="1"/>
  <c r="X16" i="8"/>
  <c r="Y16" i="8" s="1"/>
  <c r="Z16" i="8" s="1"/>
  <c r="X104" i="8"/>
  <c r="Y104" i="8" s="1"/>
  <c r="Z104" i="8" s="1"/>
  <c r="X39" i="8"/>
  <c r="X102" i="8"/>
  <c r="Y102" i="8" s="1"/>
  <c r="Z102" i="8" s="1"/>
  <c r="X38" i="8"/>
  <c r="Y38" i="8" s="1"/>
  <c r="Z38" i="8" s="1"/>
  <c r="X29" i="8"/>
  <c r="Y29" i="8" s="1"/>
  <c r="Z29" i="8" s="1"/>
  <c r="X91" i="8"/>
  <c r="Y91" i="8" s="1"/>
  <c r="Z91" i="8" s="1"/>
  <c r="X26" i="8"/>
  <c r="Y26" i="8" s="1"/>
  <c r="Z26" i="8" s="1"/>
  <c r="X49" i="8"/>
  <c r="Y49" i="8" s="1"/>
  <c r="Z49" i="8" s="1"/>
  <c r="X71" i="8"/>
  <c r="X8" i="8"/>
  <c r="X92" i="8"/>
  <c r="X31" i="8"/>
  <c r="Y31" i="8" s="1"/>
  <c r="Z31" i="8" s="1"/>
  <c r="X97" i="8"/>
  <c r="Y97" i="8" s="1"/>
  <c r="Z97" i="8" s="1"/>
  <c r="X30" i="8"/>
  <c r="X96" i="8"/>
  <c r="Y96" i="8" s="1"/>
  <c r="Z96" i="8" s="1"/>
  <c r="X90" i="8"/>
  <c r="Y90" i="8" s="1"/>
  <c r="Z90" i="8" s="1"/>
  <c r="X27" i="8"/>
  <c r="X36" i="8"/>
  <c r="X19" i="8"/>
  <c r="Y19" i="8" s="1"/>
  <c r="Z19" i="8" s="1"/>
  <c r="X74" i="8"/>
  <c r="Y74" i="8" s="1"/>
  <c r="Z74" i="8" s="1"/>
  <c r="X17" i="8"/>
  <c r="X56" i="8"/>
  <c r="Y56" i="8" s="1"/>
  <c r="Z56" i="8" s="1"/>
  <c r="X76" i="8"/>
  <c r="X15" i="8"/>
  <c r="Y15" i="8" s="1"/>
  <c r="Z15" i="8" s="1"/>
  <c r="X14" i="8"/>
  <c r="X75" i="8"/>
  <c r="Y75" i="8" s="1"/>
  <c r="Z75" i="8" s="1"/>
  <c r="X32" i="8"/>
  <c r="X84" i="8"/>
  <c r="Y84" i="8" s="1"/>
  <c r="Z84" i="8" s="1"/>
  <c r="X13" i="8"/>
  <c r="X52" i="8"/>
  <c r="Y52" i="8" s="1"/>
  <c r="Z52" i="8" s="1"/>
  <c r="X25" i="8"/>
  <c r="X99" i="8"/>
  <c r="Y99" i="8" s="1"/>
  <c r="Z99" i="8" s="1"/>
  <c r="X79" i="8"/>
  <c r="X18" i="8"/>
  <c r="Y18" i="8" s="1"/>
  <c r="Z18" i="8" s="1"/>
  <c r="X33" i="8"/>
  <c r="X64" i="8"/>
  <c r="Y64" i="8" s="1"/>
  <c r="Z64" i="8" s="1"/>
  <c r="X81" i="8"/>
  <c r="X89" i="8"/>
  <c r="Y89" i="8" s="1"/>
  <c r="Z89" i="8" s="1"/>
  <c r="X23" i="8"/>
  <c r="X87" i="8"/>
  <c r="Y87" i="8" s="1"/>
  <c r="Z87" i="8" s="1"/>
  <c r="X22" i="8"/>
  <c r="X68" i="8"/>
  <c r="X85" i="8"/>
  <c r="Y85" i="8" s="1"/>
  <c r="Z85" i="8" s="1"/>
  <c r="X10" i="8"/>
  <c r="Y10" i="8" s="1"/>
  <c r="Z10" i="8" s="1"/>
  <c r="X21" i="8"/>
  <c r="X80" i="8"/>
  <c r="Y80" i="8" s="1"/>
  <c r="Z80" i="8" s="1"/>
  <c r="X44" i="8"/>
  <c r="Y44" i="8" s="1"/>
  <c r="Z44" i="8" s="1"/>
  <c r="X11" i="8"/>
  <c r="X50" i="8"/>
  <c r="X98" i="8"/>
  <c r="Y98" i="8" s="1"/>
  <c r="Z98" i="8" s="1"/>
  <c r="X60" i="8"/>
  <c r="Y60" i="8" s="1"/>
  <c r="Z60" i="8" s="1"/>
  <c r="X55" i="8"/>
  <c r="X54" i="8"/>
  <c r="X51" i="8"/>
  <c r="X86" i="8"/>
  <c r="Y86" i="8" s="1"/>
  <c r="Z86" i="8" s="1"/>
  <c r="X47" i="8"/>
  <c r="Y47" i="8" s="1"/>
  <c r="Z47" i="8" s="1"/>
  <c r="X12" i="8"/>
  <c r="X35" i="8"/>
  <c r="X73" i="8"/>
  <c r="Y73" i="8" s="1"/>
  <c r="Z73" i="8" s="1"/>
  <c r="X43" i="8"/>
  <c r="X66" i="8"/>
  <c r="Y66" i="8" s="1"/>
  <c r="Z66" i="8" s="1"/>
  <c r="X105" i="8"/>
  <c r="Y105" i="8" s="1"/>
  <c r="Z105" i="8" s="1"/>
  <c r="X28" i="8"/>
  <c r="Y28" i="8" s="1"/>
  <c r="Z28" i="8" s="1"/>
  <c r="X48" i="8"/>
  <c r="X100" i="8"/>
  <c r="Y100" i="8" s="1"/>
  <c r="Z100" i="8" s="1"/>
  <c r="X72" i="8"/>
  <c r="Y72" i="8" s="1"/>
  <c r="Z72" i="8" s="1"/>
  <c r="X83" i="8"/>
  <c r="Y83" i="8" s="1"/>
  <c r="Z83" i="8" s="1"/>
  <c r="X70" i="8"/>
  <c r="X95" i="8"/>
  <c r="Y95" i="8" s="1"/>
  <c r="Z95" i="8" s="1"/>
  <c r="X101" i="8"/>
  <c r="Y101" i="8" s="1"/>
  <c r="Z101" i="8" s="1"/>
  <c r="X67" i="8"/>
  <c r="X88" i="8"/>
  <c r="Y88" i="8" s="1"/>
  <c r="Z88" i="8" s="1"/>
  <c r="X58" i="8"/>
  <c r="X93" i="8"/>
  <c r="Y93" i="8" s="1"/>
  <c r="Z93" i="8" s="1"/>
  <c r="X103" i="8"/>
  <c r="Y103" i="8" s="1"/>
  <c r="Z103" i="8" s="1"/>
  <c r="X40" i="8"/>
  <c r="X78" i="8"/>
  <c r="Y78" i="8" s="1"/>
  <c r="Z78" i="8" s="1"/>
  <c r="X63" i="8"/>
  <c r="Y63" i="8" s="1"/>
  <c r="Z63" i="8" s="1"/>
  <c r="X37" i="8"/>
  <c r="X62" i="8"/>
  <c r="Y62" i="8" s="1"/>
  <c r="Z62" i="8" s="1"/>
  <c r="X69" i="8"/>
  <c r="X61" i="8"/>
  <c r="Y61" i="8" s="1"/>
  <c r="Z61" i="8" s="1"/>
  <c r="X59" i="8"/>
  <c r="Y59" i="8" s="1"/>
  <c r="Z59" i="8" s="1"/>
  <c r="X57" i="8"/>
  <c r="X53" i="8"/>
  <c r="Y53" i="8" s="1"/>
  <c r="Z53" i="8" s="1"/>
  <c r="X42" i="8"/>
  <c r="Y42" i="8" s="1"/>
  <c r="Z42" i="8" s="1"/>
  <c r="X24" i="8"/>
  <c r="X45" i="8"/>
  <c r="T51" i="8"/>
  <c r="T70" i="8"/>
  <c r="T65" i="8"/>
  <c r="T13" i="8"/>
  <c r="T41" i="8"/>
  <c r="T57" i="8"/>
  <c r="T25" i="8"/>
  <c r="T71" i="8"/>
  <c r="T50" i="8"/>
  <c r="T92" i="8"/>
  <c r="T58" i="8"/>
  <c r="T27" i="8"/>
  <c r="T76" i="8"/>
  <c r="T54" i="8"/>
  <c r="T67" i="8"/>
  <c r="T14" i="8"/>
  <c r="T12" i="8"/>
  <c r="T36" i="8"/>
  <c r="Y36" i="8" s="1"/>
  <c r="Z36" i="8" s="1"/>
  <c r="T39" i="8"/>
  <c r="T22" i="8"/>
  <c r="T21" i="8"/>
  <c r="Y21" i="8" s="1"/>
  <c r="Z21" i="8" s="1"/>
  <c r="T79" i="8"/>
  <c r="T24" i="8"/>
  <c r="T37" i="8"/>
  <c r="T55" i="8"/>
  <c r="T34" i="8"/>
  <c r="T35" i="8"/>
  <c r="T69" i="8"/>
  <c r="T20" i="8"/>
  <c r="T8" i="8"/>
  <c r="T17" i="8"/>
  <c r="T32" i="8"/>
  <c r="T45" i="8"/>
  <c r="T11" i="8"/>
  <c r="T33" i="8"/>
  <c r="Y33" i="8" s="1"/>
  <c r="Z33" i="8" s="1"/>
  <c r="T81" i="8"/>
  <c r="T68" i="8"/>
  <c r="T48" i="8"/>
  <c r="T40" i="8"/>
  <c r="T23" i="8"/>
  <c r="T30" i="8"/>
  <c r="T43" i="8"/>
  <c r="M110" i="8" l="1"/>
  <c r="N110" i="8" s="1"/>
  <c r="Q62" i="8"/>
  <c r="R62" i="8"/>
  <c r="Q70" i="8"/>
  <c r="R70" i="8"/>
  <c r="Q71" i="8"/>
  <c r="R71" i="8"/>
  <c r="P59" i="8"/>
  <c r="R59" i="8"/>
  <c r="Q10" i="8"/>
  <c r="R10" i="8"/>
  <c r="Q97" i="8"/>
  <c r="R97" i="8"/>
  <c r="N31" i="8"/>
  <c r="R31" i="8"/>
  <c r="Q98" i="8"/>
  <c r="R98" i="8"/>
  <c r="Q91" i="8"/>
  <c r="R91" i="8"/>
  <c r="Q34" i="8"/>
  <c r="R34" i="8"/>
  <c r="N19" i="8"/>
  <c r="R19" i="8"/>
  <c r="O19" i="8"/>
  <c r="Q76" i="8"/>
  <c r="R76" i="8"/>
  <c r="Q75" i="8"/>
  <c r="R75" i="8"/>
  <c r="O15" i="8"/>
  <c r="R15" i="8"/>
  <c r="Q83" i="8"/>
  <c r="R83" i="8"/>
  <c r="Q101" i="8"/>
  <c r="R101" i="8"/>
  <c r="Q87" i="8"/>
  <c r="R87" i="8"/>
  <c r="O57" i="8"/>
  <c r="R57" i="8"/>
  <c r="R110" i="8"/>
  <c r="Q94" i="8"/>
  <c r="R94" i="8"/>
  <c r="Q104" i="8"/>
  <c r="R104" i="8"/>
  <c r="P61" i="8"/>
  <c r="R61" i="8"/>
  <c r="O48" i="8"/>
  <c r="R48" i="8"/>
  <c r="N53" i="8"/>
  <c r="R53" i="8"/>
  <c r="Q107" i="8"/>
  <c r="R107" i="8"/>
  <c r="Q9" i="8"/>
  <c r="R9" i="8"/>
  <c r="Q78" i="8"/>
  <c r="R78" i="8"/>
  <c r="P19" i="8"/>
  <c r="Q90" i="8"/>
  <c r="R90" i="8"/>
  <c r="Q40" i="8"/>
  <c r="R40" i="8"/>
  <c r="Q74" i="8"/>
  <c r="R74" i="8"/>
  <c r="Q66" i="8"/>
  <c r="R66" i="8"/>
  <c r="Q93" i="8"/>
  <c r="R93" i="8"/>
  <c r="Q105" i="8"/>
  <c r="R105" i="8"/>
  <c r="O49" i="8"/>
  <c r="R49" i="8"/>
  <c r="Q96" i="8"/>
  <c r="R96" i="8"/>
  <c r="Q67" i="8"/>
  <c r="R67" i="8"/>
  <c r="O50" i="8"/>
  <c r="R50" i="8"/>
  <c r="P25" i="8"/>
  <c r="R25" i="8"/>
  <c r="Q79" i="8"/>
  <c r="R79" i="8"/>
  <c r="Q85" i="8"/>
  <c r="R85" i="8"/>
  <c r="P35" i="8"/>
  <c r="R35" i="8"/>
  <c r="P43" i="8"/>
  <c r="R43" i="8"/>
  <c r="Q103" i="8"/>
  <c r="R103" i="8"/>
  <c r="Q89" i="8"/>
  <c r="R89" i="8"/>
  <c r="O16" i="8"/>
  <c r="R16" i="8"/>
  <c r="Q80" i="8"/>
  <c r="R80" i="8"/>
  <c r="O18" i="8"/>
  <c r="R18" i="8"/>
  <c r="Q108" i="8"/>
  <c r="R108" i="8"/>
  <c r="Q81" i="8"/>
  <c r="R81" i="8"/>
  <c r="O60" i="8"/>
  <c r="Q64" i="8"/>
  <c r="R64" i="8"/>
  <c r="Q63" i="8"/>
  <c r="R63" i="8"/>
  <c r="Q95" i="8"/>
  <c r="R95" i="8"/>
  <c r="O52" i="8"/>
  <c r="R52" i="8"/>
  <c r="P47" i="8"/>
  <c r="R47" i="8"/>
  <c r="Q12" i="8"/>
  <c r="R12" i="8"/>
  <c r="P34" i="8"/>
  <c r="Q102" i="8"/>
  <c r="R102" i="8"/>
  <c r="Q106" i="8"/>
  <c r="R106" i="8"/>
  <c r="O28" i="8"/>
  <c r="R28" i="8"/>
  <c r="O86" i="8"/>
  <c r="R86" i="8"/>
  <c r="Q69" i="8"/>
  <c r="R69" i="8"/>
  <c r="P37" i="8"/>
  <c r="R37" i="8"/>
  <c r="Q100" i="8"/>
  <c r="R100" i="8"/>
  <c r="Q68" i="8"/>
  <c r="R68" i="8"/>
  <c r="Q99" i="8"/>
  <c r="R99" i="8"/>
  <c r="Q92" i="8"/>
  <c r="R92" i="8"/>
  <c r="Q73" i="8"/>
  <c r="R73" i="8"/>
  <c r="Q88" i="8"/>
  <c r="R88" i="8"/>
  <c r="N65" i="8"/>
  <c r="R65" i="8"/>
  <c r="N34" i="8"/>
  <c r="O34" i="8"/>
  <c r="O31" i="8"/>
  <c r="P31" i="8"/>
  <c r="Q52" i="8"/>
  <c r="N52" i="8"/>
  <c r="Q31" i="8"/>
  <c r="P65" i="8"/>
  <c r="P52" i="8"/>
  <c r="Q19" i="8"/>
  <c r="Q65" i="8"/>
  <c r="O65" i="8"/>
  <c r="O43" i="8"/>
  <c r="N60" i="8"/>
  <c r="Q60" i="8"/>
  <c r="N35" i="8"/>
  <c r="Q35" i="8"/>
  <c r="N49" i="8"/>
  <c r="Q49" i="8"/>
  <c r="N59" i="8"/>
  <c r="Q59" i="8"/>
  <c r="N18" i="8"/>
  <c r="Q18" i="8"/>
  <c r="N58" i="8"/>
  <c r="Q58" i="8"/>
  <c r="O47" i="8"/>
  <c r="P58" i="8"/>
  <c r="O58" i="8"/>
  <c r="N28" i="8"/>
  <c r="Q28" i="8"/>
  <c r="N86" i="8"/>
  <c r="Q86" i="8"/>
  <c r="N15" i="8"/>
  <c r="Q15" i="8"/>
  <c r="N17" i="8"/>
  <c r="Q17" i="8"/>
  <c r="N37" i="8"/>
  <c r="Q37" i="8"/>
  <c r="N57" i="8"/>
  <c r="Q57" i="8"/>
  <c r="N27" i="8"/>
  <c r="Q27" i="8"/>
  <c r="N39" i="8"/>
  <c r="Q39" i="8"/>
  <c r="N61" i="8"/>
  <c r="Q61" i="8"/>
  <c r="N48" i="8"/>
  <c r="Q48" i="8"/>
  <c r="N44" i="8"/>
  <c r="Q44" i="8"/>
  <c r="N50" i="8"/>
  <c r="Q50" i="8"/>
  <c r="N25" i="8"/>
  <c r="Q25" i="8"/>
  <c r="N47" i="8"/>
  <c r="Q47" i="8"/>
  <c r="N43" i="8"/>
  <c r="Q43" i="8"/>
  <c r="N16" i="8"/>
  <c r="Q16" i="8"/>
  <c r="P49" i="8"/>
  <c r="P50" i="8"/>
  <c r="N30" i="8"/>
  <c r="Q30" i="8"/>
  <c r="N29" i="8"/>
  <c r="Q29" i="8"/>
  <c r="N38" i="8"/>
  <c r="Q38" i="8"/>
  <c r="O35" i="8"/>
  <c r="O25" i="8"/>
  <c r="O59" i="8"/>
  <c r="O30" i="8"/>
  <c r="P16" i="8"/>
  <c r="P18" i="8"/>
  <c r="P60" i="8"/>
  <c r="N72" i="8"/>
  <c r="Q72" i="8"/>
  <c r="N26" i="8"/>
  <c r="Q26" i="8"/>
  <c r="N36" i="8"/>
  <c r="Q36" i="8"/>
  <c r="O38" i="8"/>
  <c r="N64" i="8"/>
  <c r="P64" i="8"/>
  <c r="O64" i="8"/>
  <c r="N63" i="8"/>
  <c r="P63" i="8"/>
  <c r="O63" i="8"/>
  <c r="N95" i="8"/>
  <c r="P95" i="8"/>
  <c r="O95" i="8"/>
  <c r="O29" i="8"/>
  <c r="N76" i="8"/>
  <c r="O76" i="8"/>
  <c r="P76" i="8"/>
  <c r="N102" i="8"/>
  <c r="P102" i="8"/>
  <c r="O102" i="8"/>
  <c r="N75" i="8"/>
  <c r="P75" i="8"/>
  <c r="O75" i="8"/>
  <c r="N106" i="8"/>
  <c r="P106" i="8"/>
  <c r="O106" i="8"/>
  <c r="N83" i="8"/>
  <c r="P83" i="8"/>
  <c r="O83" i="8"/>
  <c r="N69" i="8"/>
  <c r="P69" i="8"/>
  <c r="O69" i="8"/>
  <c r="N101" i="8"/>
  <c r="O101" i="8"/>
  <c r="P101" i="8"/>
  <c r="N87" i="8"/>
  <c r="P87" i="8"/>
  <c r="O87" i="8"/>
  <c r="N100" i="8"/>
  <c r="O100" i="8"/>
  <c r="P100" i="8"/>
  <c r="N68" i="8"/>
  <c r="O68" i="8"/>
  <c r="P68" i="8"/>
  <c r="N99" i="8"/>
  <c r="P99" i="8"/>
  <c r="O99" i="8"/>
  <c r="N94" i="8"/>
  <c r="P94" i="8"/>
  <c r="O94" i="8"/>
  <c r="N92" i="8"/>
  <c r="P92" i="8"/>
  <c r="O92" i="8"/>
  <c r="N73" i="8"/>
  <c r="P73" i="8"/>
  <c r="O73" i="8"/>
  <c r="N104" i="8"/>
  <c r="P104" i="8"/>
  <c r="O104" i="8"/>
  <c r="N88" i="8"/>
  <c r="P88" i="8"/>
  <c r="O88" i="8"/>
  <c r="O110" i="8"/>
  <c r="P17" i="8"/>
  <c r="P29" i="8"/>
  <c r="P15" i="8"/>
  <c r="P39" i="8"/>
  <c r="O61" i="8"/>
  <c r="N90" i="8"/>
  <c r="O90" i="8"/>
  <c r="P90" i="8"/>
  <c r="N40" i="8"/>
  <c r="P40" i="8"/>
  <c r="O40" i="8"/>
  <c r="N10" i="8"/>
  <c r="O10" i="8"/>
  <c r="P10" i="8"/>
  <c r="P86" i="8"/>
  <c r="P57" i="8"/>
  <c r="P30" i="8"/>
  <c r="P48" i="8"/>
  <c r="P38" i="8"/>
  <c r="P36" i="8"/>
  <c r="P44" i="8"/>
  <c r="O37" i="8"/>
  <c r="P28" i="8"/>
  <c r="N96" i="8"/>
  <c r="O96" i="8"/>
  <c r="P96" i="8"/>
  <c r="N62" i="8"/>
  <c r="P62" i="8"/>
  <c r="O62" i="8"/>
  <c r="N67" i="8"/>
  <c r="P67" i="8"/>
  <c r="O67" i="8"/>
  <c r="N107" i="8"/>
  <c r="P107" i="8"/>
  <c r="O107" i="8"/>
  <c r="N98" i="8"/>
  <c r="O98" i="8"/>
  <c r="P98" i="8"/>
  <c r="N79" i="8"/>
  <c r="P79" i="8"/>
  <c r="O79" i="8"/>
  <c r="N70" i="8"/>
  <c r="P70" i="8"/>
  <c r="O70" i="8"/>
  <c r="N85" i="8"/>
  <c r="P85" i="8"/>
  <c r="O85" i="8"/>
  <c r="N105" i="8"/>
  <c r="P105" i="8"/>
  <c r="O105" i="8"/>
  <c r="N9" i="8"/>
  <c r="P9" i="8"/>
  <c r="O9" i="8"/>
  <c r="N108" i="8"/>
  <c r="O108" i="8"/>
  <c r="P108" i="8"/>
  <c r="N103" i="8"/>
  <c r="P103" i="8"/>
  <c r="O103" i="8"/>
  <c r="N91" i="8"/>
  <c r="P91" i="8"/>
  <c r="O91" i="8"/>
  <c r="N89" i="8"/>
  <c r="P89" i="8"/>
  <c r="O89" i="8"/>
  <c r="N71" i="8"/>
  <c r="P71" i="8"/>
  <c r="O71" i="8"/>
  <c r="N12" i="8"/>
  <c r="O12" i="8"/>
  <c r="P12" i="8"/>
  <c r="N81" i="8"/>
  <c r="P81" i="8"/>
  <c r="O81" i="8"/>
  <c r="N80" i="8"/>
  <c r="P80" i="8"/>
  <c r="O80" i="8"/>
  <c r="N78" i="8"/>
  <c r="P78" i="8"/>
  <c r="O78" i="8"/>
  <c r="P27" i="8"/>
  <c r="N97" i="8"/>
  <c r="P97" i="8"/>
  <c r="O97" i="8"/>
  <c r="N74" i="8"/>
  <c r="P74" i="8"/>
  <c r="O74" i="8"/>
  <c r="N66" i="8"/>
  <c r="P66" i="8"/>
  <c r="O66" i="8"/>
  <c r="N93" i="8"/>
  <c r="P93" i="8"/>
  <c r="O93" i="8"/>
  <c r="Y79" i="8"/>
  <c r="Z79" i="8" s="1"/>
  <c r="Y14" i="8"/>
  <c r="Z14" i="8" s="1"/>
  <c r="Y71" i="8"/>
  <c r="Z71" i="8" s="1"/>
  <c r="Y68" i="8"/>
  <c r="Z68" i="8" s="1"/>
  <c r="Y20" i="8"/>
  <c r="Z20" i="8" s="1"/>
  <c r="T110" i="8"/>
  <c r="Y41" i="8"/>
  <c r="Z41" i="8" s="1"/>
  <c r="Y11" i="8"/>
  <c r="Z11" i="8" s="1"/>
  <c r="Y35" i="8"/>
  <c r="Z35" i="8" s="1"/>
  <c r="Y39" i="8"/>
  <c r="Z39" i="8" s="1"/>
  <c r="Y92" i="8"/>
  <c r="Z92" i="8" s="1"/>
  <c r="Y43" i="8"/>
  <c r="Z43" i="8" s="1"/>
  <c r="Y32" i="8"/>
  <c r="Z32" i="8" s="1"/>
  <c r="Y13" i="8"/>
  <c r="Z13" i="8" s="1"/>
  <c r="Y81" i="8"/>
  <c r="Z81" i="8" s="1"/>
  <c r="Y70" i="8"/>
  <c r="Z70" i="8" s="1"/>
  <c r="Y45" i="8"/>
  <c r="Z45" i="8" s="1"/>
  <c r="Y55" i="8"/>
  <c r="Z55" i="8" s="1"/>
  <c r="Y17" i="8"/>
  <c r="Z17" i="8" s="1"/>
  <c r="Y34" i="8"/>
  <c r="Z34" i="8" s="1"/>
  <c r="Y48" i="8"/>
  <c r="Z48" i="8" s="1"/>
  <c r="Y54" i="8"/>
  <c r="Z54" i="8" s="1"/>
  <c r="Y57" i="8"/>
  <c r="Z57" i="8" s="1"/>
  <c r="Y69" i="8"/>
  <c r="Z69" i="8" s="1"/>
  <c r="Y22" i="8"/>
  <c r="Z22" i="8" s="1"/>
  <c r="Y27" i="8"/>
  <c r="Z27" i="8" s="1"/>
  <c r="Y58" i="8"/>
  <c r="Z58" i="8" s="1"/>
  <c r="Y65" i="8"/>
  <c r="Z65" i="8" s="1"/>
  <c r="Y8" i="8"/>
  <c r="Y76" i="8"/>
  <c r="Z76" i="8" s="1"/>
  <c r="Y30" i="8"/>
  <c r="Z30" i="8" s="1"/>
  <c r="Y12" i="8"/>
  <c r="Z12" i="8" s="1"/>
  <c r="Y50" i="8"/>
  <c r="Z50" i="8" s="1"/>
  <c r="Y51" i="8"/>
  <c r="Z51" i="8" s="1"/>
  <c r="X110" i="8"/>
  <c r="Y23" i="8"/>
  <c r="Z23" i="8" s="1"/>
  <c r="Y37" i="8"/>
  <c r="Z37" i="8" s="1"/>
  <c r="Y40" i="8"/>
  <c r="Z40" i="8" s="1"/>
  <c r="Y24" i="8"/>
  <c r="Z24" i="8" s="1"/>
  <c r="Y67" i="8"/>
  <c r="Z67" i="8" s="1"/>
  <c r="Y25" i="8"/>
  <c r="Z25" i="8" s="1"/>
  <c r="Q110" i="8" l="1"/>
  <c r="P110" i="8"/>
  <c r="Q8" i="8"/>
  <c r="R8" i="8"/>
  <c r="N8" i="8"/>
  <c r="O8" i="8"/>
  <c r="P8" i="8"/>
  <c r="Z8" i="8"/>
  <c r="Y110" i="8"/>
  <c r="C3" i="8" s="1"/>
</calcChain>
</file>

<file path=xl/sharedStrings.xml><?xml version="1.0" encoding="utf-8"?>
<sst xmlns="http://schemas.openxmlformats.org/spreadsheetml/2006/main" count="551" uniqueCount="262">
  <si>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</si>
  <si>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</si>
  <si>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</si>
  <si>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</si>
  <si>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</si>
  <si>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</si>
  <si>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</si>
  <si>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</si>
  <si>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</si>
  <si>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</si>
  <si>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</si>
  <si>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</si>
  <si>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</si>
  <si>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</si>
  <si>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</si>
  <si>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</si>
  <si>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</si>
  <si>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</si>
  <si>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</si>
  <si>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</si>
  <si>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</si>
  <si>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</si>
  <si>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</si>
  <si>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</si>
  <si>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</si>
  <si>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</si>
  <si>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</si>
  <si>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</si>
  <si>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</si>
  <si>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</si>
  <si>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</si>
  <si>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</si>
  <si>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</si>
  <si>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</si>
  <si>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</si>
  <si>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</si>
  <si>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</si>
  <si>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</si>
  <si>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</si>
  <si>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</si>
  <si>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</si>
  <si>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</si>
  <si>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</si>
  <si>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</si>
  <si>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</si>
  <si>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</si>
  <si>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</si>
  <si>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</si>
  <si>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</si>
  <si>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</si>
  <si>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</si>
  <si>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</si>
  <si>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</si>
  <si>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</si>
  <si>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</si>
  <si>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</si>
  <si>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</si>
  <si>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</si>
  <si>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</si>
  <si>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</si>
  <si>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</si>
  <si>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</si>
  <si>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</si>
  <si>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</si>
  <si>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</si>
  <si>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</si>
  <si>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</si>
  <si>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</si>
  <si>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</si>
  <si>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</si>
  <si>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</si>
  <si>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</si>
  <si>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</si>
  <si>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</si>
  <si>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</si>
  <si>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</si>
  <si>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</si>
  <si>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</si>
  <si>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</si>
  <si>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</si>
  <si>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</si>
  <si>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</si>
  <si>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</si>
  <si>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</si>
  <si>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</si>
  <si>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</si>
  <si>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</si>
  <si>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</si>
  <si>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</si>
  <si>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</si>
  <si>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</si>
  <si>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</si>
  <si>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</si>
  <si>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</si>
  <si>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</si>
  <si>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</si>
  <si>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</si>
  <si>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</si>
  <si>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</si>
  <si>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</si>
  <si>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Other Counties</t>
  </si>
  <si>
    <t>State Total</t>
  </si>
  <si>
    <t>*</t>
  </si>
  <si>
    <t>(D)</t>
  </si>
  <si>
    <t>Counties</t>
  </si>
  <si>
    <t>Broilers, Number Produced</t>
  </si>
  <si>
    <t>Turkeys, Number Raised</t>
  </si>
  <si>
    <t>Head</t>
  </si>
  <si>
    <t>All Cattle, Number on Farms, Jan 1</t>
  </si>
  <si>
    <t>Hogs, Number on Farms, Dec 1</t>
  </si>
  <si>
    <t>Layers, Number on Farms, Dec 1</t>
  </si>
  <si>
    <t>Checks</t>
  </si>
  <si>
    <t xml:space="preserve"> (D)</t>
  </si>
  <si>
    <t>Rank</t>
  </si>
  <si>
    <t>&lt;50lbs</t>
  </si>
  <si>
    <t>50-119 lbs</t>
  </si>
  <si>
    <t>120-179lbs</t>
  </si>
  <si>
    <t>180lbs +</t>
  </si>
  <si>
    <t>Number 2016</t>
  </si>
  <si>
    <t>Market Hogs and Pigs Weight</t>
  </si>
  <si>
    <t>Breeding Hogs</t>
  </si>
  <si>
    <t>Total</t>
  </si>
  <si>
    <t>%</t>
  </si>
  <si>
    <t>Calculate Average Weight of Hog Population at a Given Point in Time</t>
  </si>
  <si>
    <t>Average Weight (lbs)</t>
  </si>
  <si>
    <t>lbs</t>
  </si>
  <si>
    <t>Broilers</t>
  </si>
  <si>
    <t>Age (weeks)</t>
  </si>
  <si>
    <t>Layers</t>
  </si>
  <si>
    <t>Weight (pounds)</t>
  </si>
  <si>
    <t>Turkeys</t>
  </si>
  <si>
    <t>Mid-Weight (pounds)</t>
  </si>
  <si>
    <t>Hens (weight lbs)</t>
  </si>
  <si>
    <t>Toms (weight lbs)</t>
  </si>
  <si>
    <t>Cows &amp; heifers that have calved</t>
  </si>
  <si>
    <t>Heifers 500 pounds and over</t>
  </si>
  <si>
    <t>Steers 500 pounds and over</t>
  </si>
  <si>
    <t>Bulls 500 pounds and over</t>
  </si>
  <si>
    <t>Calves under 500 pounds</t>
  </si>
  <si>
    <t xml:space="preserve">     For beef cow replacement</t>
  </si>
  <si>
    <t xml:space="preserve">     For milk cow replacement</t>
  </si>
  <si>
    <t xml:space="preserve">     Other Heifers</t>
  </si>
  <si>
    <t xml:space="preserve">    Beef cows (numbers)</t>
  </si>
  <si>
    <t xml:space="preserve">    Milk Cows (number)</t>
  </si>
  <si>
    <t>Mid-point (lbs)</t>
  </si>
  <si>
    <t>Calculate Average Weight of Cattle Population at a Given Point in Time</t>
  </si>
  <si>
    <t>Type</t>
  </si>
  <si>
    <t>Number 2017</t>
  </si>
  <si>
    <t>Average (lbs/head)</t>
  </si>
  <si>
    <t>Turns per year</t>
  </si>
  <si>
    <t>Age (weeks) Hens</t>
  </si>
  <si>
    <t>Age (weeks) Toms</t>
  </si>
  <si>
    <t>Hogs</t>
  </si>
  <si>
    <t>All Cattle</t>
  </si>
  <si>
    <t>Pounds Produced</t>
  </si>
  <si>
    <t>Value</t>
  </si>
  <si>
    <t>Millions (lbs)</t>
  </si>
  <si>
    <t>Millions ($)</t>
  </si>
  <si>
    <t>(lbs)</t>
  </si>
  <si>
    <t>($)</t>
  </si>
  <si>
    <t>$/lb</t>
  </si>
  <si>
    <t>Millions</t>
  </si>
  <si>
    <t>$/head</t>
  </si>
  <si>
    <t>days</t>
  </si>
  <si>
    <t>Value per head 2016</t>
  </si>
  <si>
    <t>Livestock</t>
  </si>
  <si>
    <t>Value    2016</t>
  </si>
  <si>
    <t xml:space="preserve">Notes </t>
  </si>
  <si>
    <t>Table 1: Estimated Economics Losses for Every Million Head of Mortality for Hogs, Broilers, and Turkeys in 2018</t>
  </si>
  <si>
    <r>
      <t>Marketings 2016</t>
    </r>
    <r>
      <rPr>
        <vertAlign val="superscript"/>
        <sz val="10"/>
        <color theme="1"/>
        <rFont val="Arial"/>
        <family val="2"/>
      </rPr>
      <t>a</t>
    </r>
  </si>
  <si>
    <t>a. Marketings, Pounds Produced, Value are from North Carolina Agricultural Statistics 2017 (http://www.ncagr.gov/stats/AgStat/index.htm)</t>
  </si>
  <si>
    <t>Pounds produced 2016</t>
  </si>
  <si>
    <t>Average value 2016</t>
  </si>
  <si>
    <t>Average slaughter weights 2016</t>
  </si>
  <si>
    <t xml:space="preserve">Direct economic impact of every million head of mortality </t>
  </si>
  <si>
    <t>Total economic loss for every million head of mortality</t>
  </si>
  <si>
    <t>($/per day)</t>
  </si>
  <si>
    <t>b. Source Implan (Implanonline.com accessed 9/17/2018)</t>
  </si>
  <si>
    <t>c. Based on the following assumptions of production time from birth to slaughter weight: hogs 178 days, broilers 56 days, turkeys 112 days.</t>
  </si>
  <si>
    <r>
      <t>Value added multipler</t>
    </r>
    <r>
      <rPr>
        <vertAlign val="superscript"/>
        <sz val="10"/>
        <color theme="1"/>
        <rFont val="Arial"/>
        <family val="2"/>
      </rPr>
      <t>b</t>
    </r>
  </si>
  <si>
    <r>
      <t>Indirect losses per day for every million head not in production</t>
    </r>
    <r>
      <rPr>
        <vertAlign val="superscript"/>
        <sz val="10"/>
        <color theme="1"/>
        <rFont val="Arial"/>
        <family val="2"/>
      </rPr>
      <t>c</t>
    </r>
  </si>
  <si>
    <t>million head</t>
  </si>
  <si>
    <t>Hogs Average Daily Weight During Year</t>
  </si>
  <si>
    <t>Broilers Average Daily Weight During Year</t>
  </si>
  <si>
    <t>Layers Average Daily Weight During Year</t>
  </si>
  <si>
    <t>Turkeys Average Daily Weight During Year</t>
  </si>
  <si>
    <t>All Cattle, Average Weight Daily During Year</t>
  </si>
  <si>
    <t>Average Broiler on Farm Daily  During Year</t>
  </si>
  <si>
    <t>Average Turkeys on Farm Daily During Year</t>
  </si>
  <si>
    <t>billion lbs</t>
  </si>
  <si>
    <t>Cattle</t>
  </si>
  <si>
    <t>Metric Tons All Feeds Needed</t>
  </si>
  <si>
    <t>All feed</t>
  </si>
  <si>
    <t>Energy feeds</t>
  </si>
  <si>
    <t>Metric tons feed per GCAU</t>
  </si>
  <si>
    <t xml:space="preserve">Metric Tons of Energy Feeds Needed </t>
  </si>
  <si>
    <t>Total per week</t>
  </si>
  <si>
    <t>Railcars</t>
  </si>
  <si>
    <t>Ships</t>
  </si>
  <si>
    <t>Panamax</t>
  </si>
  <si>
    <t>Trucks</t>
  </si>
  <si>
    <t>4750 cubic foot car</t>
  </si>
  <si>
    <t>Truckloads Alls Feeds Needed</t>
  </si>
  <si>
    <t>Railcars All Feeds Needed</t>
  </si>
  <si>
    <t>Ships All Feeds Needed</t>
  </si>
  <si>
    <t>Capacity: lbs</t>
  </si>
  <si>
    <t>36 foot hopper trailer (1240 cubic feet)</t>
  </si>
  <si>
    <t xml:space="preserve">Note: these values are from Feed Grains Yearbook table 29 </t>
  </si>
  <si>
    <t>Container</t>
  </si>
  <si>
    <t>TEU (twenty-foot equivalent)</t>
  </si>
  <si>
    <t>GCAU conversion factor</t>
  </si>
  <si>
    <t>Note 1: these factors are based USDA 1970 surveys and do not change over time</t>
  </si>
  <si>
    <t>TEU All Feeds Needed</t>
  </si>
  <si>
    <t>Capacity: metric tons</t>
  </si>
  <si>
    <t>Note 2: the cattle conversion factor depends on the composition of the NC herd, the table can be found in table 1 (https://www.ers.usda.gov/webdocs/publications/36619/41018_fds13esa.pdf?v=41597)</t>
  </si>
  <si>
    <t>Grain Consuming Animal Unit</t>
  </si>
  <si>
    <t>County</t>
  </si>
  <si>
    <t>Weekly</t>
  </si>
  <si>
    <t>Annual</t>
  </si>
  <si>
    <t>Estimated Grain Consuming Animal Units</t>
  </si>
  <si>
    <r>
      <t>Railcars All Feeds Needed</t>
    </r>
    <r>
      <rPr>
        <vertAlign val="superscript"/>
        <sz val="11"/>
        <color theme="1"/>
        <rFont val="Calibri"/>
        <family val="2"/>
        <scheme val="minor"/>
      </rPr>
      <t>b</t>
    </r>
  </si>
  <si>
    <r>
      <t>Ships All Feeds Needed</t>
    </r>
    <r>
      <rPr>
        <vertAlign val="superscript"/>
        <sz val="11"/>
        <color theme="1"/>
        <rFont val="Calibri"/>
        <family val="2"/>
        <scheme val="minor"/>
      </rPr>
      <t>c</t>
    </r>
  </si>
  <si>
    <t>c. Assumed vessel size is Panamax</t>
  </si>
  <si>
    <r>
      <t>Truckloads All Feeds Needed</t>
    </r>
    <r>
      <rPr>
        <vertAlign val="superscript"/>
        <sz val="11"/>
        <color theme="1"/>
        <rFont val="Calibri"/>
        <family val="2"/>
        <scheme val="minor"/>
      </rPr>
      <t>a</t>
    </r>
  </si>
  <si>
    <t>b. Car capacity assumed to be 4750cf</t>
  </si>
  <si>
    <t>a. Assumed trailer length is 36"</t>
  </si>
  <si>
    <t>Factors Used for Animal Unit Calculations</t>
  </si>
  <si>
    <t>Factor</t>
  </si>
  <si>
    <t>Transportation Assumptions</t>
  </si>
  <si>
    <t>Table 3: Average Number of Livestock Head, Feed, Total Weight by Species During the Year</t>
  </si>
  <si>
    <t>4 Weeks</t>
  </si>
  <si>
    <t>Table: Top 10 North Carolina Counties by Feed Needs</t>
  </si>
  <si>
    <t xml:space="preserve">FEU (forty-foot equivalent unit) </t>
  </si>
  <si>
    <t>FEU All Feeds Needed</t>
  </si>
  <si>
    <t>Total All</t>
  </si>
  <si>
    <t xml:space="preserve">Annual Metric Tons of Energy Feeds Needed </t>
  </si>
  <si>
    <t>Annual Metric Tons</t>
  </si>
  <si>
    <t>Metric Tons per week</t>
  </si>
  <si>
    <t>Railcars per week</t>
  </si>
  <si>
    <t>Truckloads per week</t>
  </si>
  <si>
    <t>Vessels per week</t>
  </si>
  <si>
    <t>metric tons</t>
  </si>
  <si>
    <t>Pounds per metric ton</t>
  </si>
  <si>
    <t>pounds</t>
  </si>
  <si>
    <t>NC Average Livestock Head During the Year Daily</t>
  </si>
  <si>
    <t>NC Average Livestock Weight During the Year</t>
  </si>
  <si>
    <t>NC Daily Feed Needs During the Year</t>
  </si>
  <si>
    <t>Calculate a change in Feed Needs Due to Inventory Levels</t>
  </si>
  <si>
    <t>Total head (sum of all counties)</t>
  </si>
  <si>
    <t>total GCAU</t>
  </si>
  <si>
    <t>Composition: poultry</t>
  </si>
  <si>
    <t>% feed needs</t>
  </si>
  <si>
    <t>Abs. chng liv. head</t>
  </si>
  <si>
    <t>Abs. chng GCAU</t>
  </si>
  <si>
    <t>% chng tot GCAU</t>
  </si>
  <si>
    <t>fewer energy feeds (MT)</t>
  </si>
  <si>
    <t>fewer energy feeds corn</t>
  </si>
  <si>
    <t xml:space="preserve">Hogs </t>
  </si>
  <si>
    <t xml:space="preserve">Broilers </t>
  </si>
  <si>
    <t/>
  </si>
  <si>
    <t>Abs. change in poultry</t>
  </si>
  <si>
    <t>Lbs per bu energy feeds (corn)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</si>
</sst>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##0;###0"/>
    <numFmt numFmtId="165" formatCode="#,##0;#,##0"/>
    <numFmt numFmtId="166" formatCode="0.0%"/>
    <numFmt numFmtId="167" formatCode="0.0"/>
    <numFmt numFmtId="168" formatCode="&quot;$&quot;#,##0.000"/>
    <numFmt numFmtId="169" formatCode="#,##0.0"/>
    <numFmt numFmtId="170" formatCode="&quot;$&quot;#,##0.00"/>
    <numFmt numFmtId="171" formatCode="&quot;$&quot;#,##0"/>
    <numFmt numFmtId="172" formatCode="&quot;$&quot;#,##0.0"/>
    <numFmt numFmtId="173" formatCode="#,##0.000"/>
    <numFmt numFmtId="174" formatCode="#,##0.0000"/>
    <numFmt numFmtId="175" formatCode="0.000"/>
    <numFmt numFmtId="176" formatCode="0.00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3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167" fontId="1" fillId="0" borderId="2" xfId="0" applyNumberFormat="1" applyFont="1" applyBorder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10" fontId="2" fillId="0" borderId="2" xfId="0" applyNumberFormat="1" applyFont="1" applyBorder="1"/>
    <xf numFmtId="165" fontId="1" fillId="0" borderId="0" xfId="0" applyNumberFormat="1" applyFont="1" applyAlignment="1">
      <alignment horizontal="right"/>
    </xf>
    <xf numFmtId="1" fontId="2" fillId="0" borderId="0" xfId="0" applyNumberFormat="1" applyFont="1"/>
    <xf numFmtId="1" fontId="1" fillId="0" borderId="0" xfId="0" applyNumberFormat="1" applyFont="1"/>
    <xf numFmtId="165" fontId="2" fillId="0" borderId="0" xfId="0" applyNumberFormat="1" applyFont="1"/>
    <xf numFmtId="165" fontId="1" fillId="0" borderId="2" xfId="0" applyNumberFormat="1" applyFont="1" applyBorder="1"/>
    <xf numFmtId="166" fontId="2" fillId="0" borderId="2" xfId="0" applyNumberFormat="1" applyFont="1" applyBorder="1"/>
    <xf numFmtId="1" fontId="1" fillId="0" borderId="2" xfId="0" applyNumberFormat="1" applyFont="1" applyBorder="1"/>
    <xf numFmtId="3" fontId="4" fillId="0" borderId="0" xfId="0" applyNumberFormat="1" applyFont="1"/>
    <xf numFmtId="0" fontId="2" fillId="0" borderId="3" xfId="0" applyFont="1" applyBorder="1"/>
    <xf numFmtId="0" fontId="2" fillId="0" borderId="1" xfId="0" applyFont="1" applyFill="1" applyBorder="1" applyAlignment="1">
      <alignment horizontal="right"/>
    </xf>
    <xf numFmtId="2" fontId="2" fillId="0" borderId="0" xfId="0" applyNumberFormat="1" applyFont="1"/>
    <xf numFmtId="0" fontId="2" fillId="0" borderId="1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3" fontId="2" fillId="3" borderId="5" xfId="0" applyNumberFormat="1" applyFont="1" applyFill="1" applyBorder="1"/>
    <xf numFmtId="3" fontId="2" fillId="3" borderId="5" xfId="0" applyNumberFormat="1" applyFont="1" applyFill="1" applyBorder="1" applyAlignment="1">
      <alignment horizontal="center"/>
    </xf>
    <xf numFmtId="0" fontId="2" fillId="3" borderId="0" xfId="0" applyFont="1" applyFill="1"/>
    <xf numFmtId="3" fontId="2" fillId="3" borderId="0" xfId="0" applyNumberFormat="1" applyFont="1" applyFill="1"/>
    <xf numFmtId="168" fontId="2" fillId="3" borderId="0" xfId="0" applyNumberFormat="1" applyFont="1" applyFill="1"/>
    <xf numFmtId="169" fontId="2" fillId="3" borderId="0" xfId="0" applyNumberFormat="1" applyFont="1" applyFill="1"/>
    <xf numFmtId="170" fontId="2" fillId="3" borderId="0" xfId="0" applyNumberFormat="1" applyFont="1" applyFill="1"/>
    <xf numFmtId="4" fontId="2" fillId="3" borderId="0" xfId="0" applyNumberFormat="1" applyFont="1" applyFill="1"/>
    <xf numFmtId="171" fontId="2" fillId="3" borderId="0" xfId="0" applyNumberFormat="1" applyFont="1" applyFill="1"/>
    <xf numFmtId="0" fontId="2" fillId="3" borderId="6" xfId="0" applyFont="1" applyFill="1" applyBorder="1"/>
    <xf numFmtId="3" fontId="2" fillId="3" borderId="6" xfId="0" applyNumberFormat="1" applyFont="1" applyFill="1" applyBorder="1"/>
    <xf numFmtId="168" fontId="2" fillId="3" borderId="6" xfId="0" applyNumberFormat="1" applyFont="1" applyFill="1" applyBorder="1"/>
    <xf numFmtId="169" fontId="2" fillId="3" borderId="6" xfId="0" applyNumberFormat="1" applyFont="1" applyFill="1" applyBorder="1"/>
    <xf numFmtId="170" fontId="2" fillId="3" borderId="6" xfId="0" applyNumberFormat="1" applyFont="1" applyFill="1" applyBorder="1"/>
    <xf numFmtId="4" fontId="2" fillId="3" borderId="6" xfId="0" applyNumberFormat="1" applyFont="1" applyFill="1" applyBorder="1"/>
    <xf numFmtId="171" fontId="2" fillId="3" borderId="6" xfId="0" applyNumberFormat="1" applyFont="1" applyFill="1" applyBorder="1"/>
    <xf numFmtId="3" fontId="6" fillId="3" borderId="0" xfId="0" applyNumberFormat="1" applyFont="1" applyFill="1"/>
    <xf numFmtId="168" fontId="6" fillId="3" borderId="0" xfId="0" applyNumberFormat="1" applyFont="1" applyFill="1"/>
    <xf numFmtId="169" fontId="6" fillId="3" borderId="0" xfId="0" applyNumberFormat="1" applyFont="1" applyFill="1"/>
    <xf numFmtId="170" fontId="6" fillId="3" borderId="0" xfId="0" applyNumberFormat="1" applyFont="1" applyFill="1"/>
    <xf numFmtId="4" fontId="6" fillId="3" borderId="0" xfId="0" applyNumberFormat="1" applyFont="1" applyFill="1"/>
    <xf numFmtId="0" fontId="0" fillId="3" borderId="0" xfId="0" applyFill="1"/>
    <xf numFmtId="0" fontId="2" fillId="3" borderId="0" xfId="0" applyFont="1" applyFill="1" applyBorder="1"/>
    <xf numFmtId="167" fontId="2" fillId="3" borderId="0" xfId="0" applyNumberFormat="1" applyFont="1" applyFill="1"/>
    <xf numFmtId="167" fontId="2" fillId="3" borderId="6" xfId="0" applyNumberFormat="1" applyFont="1" applyFill="1" applyBorder="1"/>
    <xf numFmtId="172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right" wrapText="1"/>
    </xf>
    <xf numFmtId="0" fontId="0" fillId="0" borderId="0" xfId="0" applyFont="1" applyFill="1"/>
    <xf numFmtId="0" fontId="9" fillId="0" borderId="0" xfId="0" applyFont="1" applyFill="1"/>
    <xf numFmtId="0" fontId="5" fillId="0" borderId="0" xfId="0" applyFont="1"/>
    <xf numFmtId="0" fontId="2" fillId="3" borderId="4" xfId="0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3" fontId="0" fillId="0" borderId="7" xfId="0" applyNumberFormat="1" applyBorder="1"/>
    <xf numFmtId="169" fontId="0" fillId="0" borderId="7" xfId="0" applyNumberFormat="1" applyBorder="1"/>
    <xf numFmtId="3" fontId="0" fillId="0" borderId="8" xfId="0" applyNumberFormat="1" applyBorder="1"/>
    <xf numFmtId="169" fontId="0" fillId="0" borderId="8" xfId="0" applyNumberFormat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3" fontId="0" fillId="0" borderId="9" xfId="0" applyNumberFormat="1" applyBorder="1"/>
    <xf numFmtId="169" fontId="0" fillId="0" borderId="9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5" fillId="0" borderId="0" xfId="0" applyFont="1" applyFill="1"/>
    <xf numFmtId="3" fontId="0" fillId="0" borderId="0" xfId="0" applyNumberFormat="1" applyFill="1"/>
    <xf numFmtId="0" fontId="5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2" fontId="2" fillId="0" borderId="0" xfId="0" applyNumberFormat="1" applyFont="1" applyFill="1"/>
    <xf numFmtId="4" fontId="2" fillId="0" borderId="0" xfId="0" applyNumberFormat="1" applyFont="1" applyFill="1"/>
    <xf numFmtId="174" fontId="2" fillId="0" borderId="0" xfId="0" applyNumberFormat="1" applyFont="1" applyFill="1"/>
    <xf numFmtId="3" fontId="6" fillId="0" borderId="0" xfId="0" applyNumberFormat="1" applyFont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175" fontId="11" fillId="0" borderId="2" xfId="0" applyNumberFormat="1" applyFont="1" applyFill="1" applyBorder="1"/>
    <xf numFmtId="176" fontId="0" fillId="0" borderId="0" xfId="0" applyNumberFormat="1" applyFill="1" applyBorder="1"/>
    <xf numFmtId="0" fontId="8" fillId="2" borderId="0" xfId="0" applyFont="1" applyFill="1"/>
    <xf numFmtId="169" fontId="4" fillId="2" borderId="0" xfId="0" applyNumberFormat="1" applyFont="1" applyFill="1"/>
    <xf numFmtId="173" fontId="4" fillId="2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4" fontId="0" fillId="0" borderId="0" xfId="0" applyNumberFormat="1" applyFill="1"/>
    <xf numFmtId="3" fontId="1" fillId="0" borderId="0" xfId="0" applyNumberFormat="1" applyFont="1" applyFill="1"/>
    <xf numFmtId="9" fontId="0" fillId="0" borderId="0" xfId="0" applyNumberFormat="1" applyFill="1"/>
    <xf numFmtId="10" fontId="0" fillId="0" borderId="0" xfId="0" applyNumberFormat="1" applyFill="1"/>
    <xf numFmtId="0" fontId="0" fillId="0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workbookViewId="0">
      <selection activeCell="N1" sqref="N1:T1048576"/>
    </sheetView>
  </sheetViews>
  <sheetFormatPr defaultRowHeight="15" x14ac:dyDescent="0.25"/>
  <cols>
    <col min="1" max="1" width="9.42578125" customWidth="1"/>
    <col min="2" max="2" width="11" bestFit="1" customWidth="1"/>
    <col min="3" max="3" width="12.42578125" bestFit="1" customWidth="1"/>
    <col min="4" max="4" width="10" bestFit="1" customWidth="1"/>
    <col min="5" max="5" width="8.5703125" bestFit="1" customWidth="1"/>
    <col min="6" max="6" width="9.85546875" bestFit="1" customWidth="1"/>
    <col min="7" max="7" width="10.140625" bestFit="1" customWidth="1"/>
    <col min="8" max="8" width="17" customWidth="1"/>
    <col min="10" max="10" width="15.5703125" customWidth="1"/>
    <col min="11" max="11" width="16.7109375" customWidth="1"/>
    <col min="12" max="13" width="14.42578125" customWidth="1"/>
    <col min="14" max="18" width="8.85546875" hidden="1" customWidth="1"/>
    <col min="19" max="19" width="16.5703125" hidden="1" customWidth="1"/>
    <col min="20" max="20" width="12.7109375" hidden="1" customWidth="1"/>
  </cols>
  <sheetData>
    <row r="1" spans="1:20" ht="16.5" thickBot="1" x14ac:dyDescent="0.3">
      <c r="A1" s="37" t="s">
        <v>168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20" ht="54" thickTop="1" thickBot="1" x14ac:dyDescent="0.3">
      <c r="A2" s="39" t="s">
        <v>165</v>
      </c>
      <c r="B2" s="39" t="s">
        <v>169</v>
      </c>
      <c r="C2" s="39" t="s">
        <v>171</v>
      </c>
      <c r="D2" s="39" t="s">
        <v>166</v>
      </c>
      <c r="E2" s="39" t="s">
        <v>172</v>
      </c>
      <c r="F2" s="39" t="s">
        <v>173</v>
      </c>
      <c r="G2" s="39" t="s">
        <v>164</v>
      </c>
      <c r="H2" s="39" t="s">
        <v>174</v>
      </c>
      <c r="I2" s="39" t="s">
        <v>179</v>
      </c>
      <c r="J2" s="39" t="s">
        <v>175</v>
      </c>
      <c r="K2" s="39" t="s">
        <v>180</v>
      </c>
      <c r="L2" s="36"/>
      <c r="M2" s="36"/>
      <c r="S2" s="35" t="s">
        <v>154</v>
      </c>
      <c r="T2" s="35" t="s">
        <v>155</v>
      </c>
    </row>
    <row r="3" spans="1:20" ht="15.75" thickTop="1" x14ac:dyDescent="0.25">
      <c r="A3" s="40"/>
      <c r="B3" s="40" t="s">
        <v>161</v>
      </c>
      <c r="C3" s="40" t="s">
        <v>156</v>
      </c>
      <c r="D3" s="41" t="s">
        <v>157</v>
      </c>
      <c r="E3" s="40" t="s">
        <v>160</v>
      </c>
      <c r="F3" s="40" t="s">
        <v>125</v>
      </c>
      <c r="G3" s="40" t="s">
        <v>162</v>
      </c>
      <c r="H3" s="40" t="s">
        <v>157</v>
      </c>
      <c r="I3" s="42"/>
      <c r="J3" s="40" t="s">
        <v>157</v>
      </c>
      <c r="K3" s="43" t="s">
        <v>176</v>
      </c>
      <c r="L3" s="1"/>
      <c r="M3" s="1"/>
      <c r="N3" s="1"/>
      <c r="O3" s="1">
        <v>1000000</v>
      </c>
      <c r="S3" s="35" t="s">
        <v>158</v>
      </c>
      <c r="T3" t="s">
        <v>159</v>
      </c>
    </row>
    <row r="4" spans="1:20" x14ac:dyDescent="0.25">
      <c r="A4" s="44" t="s">
        <v>152</v>
      </c>
      <c r="B4" s="65">
        <f>17499000/O3</f>
        <v>17.498999999999999</v>
      </c>
      <c r="C4" s="45">
        <v>4146.6139999999996</v>
      </c>
      <c r="D4" s="45">
        <v>2103.444</v>
      </c>
      <c r="E4" s="46">
        <f>D4/C4</f>
        <v>0.50726785758211401</v>
      </c>
      <c r="F4" s="47">
        <f>C4/B4</f>
        <v>236.9629121664095</v>
      </c>
      <c r="G4" s="48">
        <f>F4*E4</f>
        <v>120.2036687810732</v>
      </c>
      <c r="H4" s="46">
        <f>G4*$O$3/$O$3</f>
        <v>120.2036687810732</v>
      </c>
      <c r="I4" s="49">
        <v>1.9039999999999999</v>
      </c>
      <c r="J4" s="46">
        <f>I4*H4</f>
        <v>228.86778535916338</v>
      </c>
      <c r="K4" s="50">
        <f>(J4-H4)/B14*$O$3</f>
        <v>610472.56504545046</v>
      </c>
      <c r="R4" t="s">
        <v>152</v>
      </c>
      <c r="S4" s="1">
        <v>4146614000</v>
      </c>
      <c r="T4" s="1">
        <v>2103444000</v>
      </c>
    </row>
    <row r="5" spans="1:20" x14ac:dyDescent="0.25">
      <c r="A5" s="44" t="s">
        <v>126</v>
      </c>
      <c r="B5" s="65">
        <f>818700000/O3</f>
        <v>818.7</v>
      </c>
      <c r="C5" s="45">
        <v>6467.7</v>
      </c>
      <c r="D5" s="45">
        <v>3091.5610000000001</v>
      </c>
      <c r="E5" s="46">
        <f t="shared" ref="E5:E7" si="0">D5/C5</f>
        <v>0.47800006184578758</v>
      </c>
      <c r="F5" s="47">
        <f t="shared" ref="F5:F7" si="1">C5/B5</f>
        <v>7.8999633565408569</v>
      </c>
      <c r="G5" s="48">
        <f t="shared" ref="G5:G7" si="2">F5*E5</f>
        <v>3.776182973005985</v>
      </c>
      <c r="H5" s="46">
        <f>G5*$O$3/$O$3</f>
        <v>3.776182973005985</v>
      </c>
      <c r="I5" s="49">
        <v>1.9550000000000001</v>
      </c>
      <c r="J5" s="46">
        <f t="shared" ref="J5:J7" si="3">I5*H5</f>
        <v>7.3824377122267011</v>
      </c>
      <c r="K5" s="50">
        <f>(J5-H5)/B15*$O$3</f>
        <v>64397.406057512788</v>
      </c>
      <c r="R5" t="s">
        <v>126</v>
      </c>
      <c r="S5" s="1">
        <v>6467700000</v>
      </c>
      <c r="T5" s="1">
        <v>3091561000</v>
      </c>
    </row>
    <row r="6" spans="1:20" ht="15.75" thickBot="1" x14ac:dyDescent="0.3">
      <c r="A6" s="51" t="s">
        <v>130</v>
      </c>
      <c r="B6" s="66">
        <f>33500000/O3</f>
        <v>33.5</v>
      </c>
      <c r="C6" s="52">
        <v>1202.6500000000001</v>
      </c>
      <c r="D6" s="52">
        <v>993.38900000000001</v>
      </c>
      <c r="E6" s="53">
        <f t="shared" si="0"/>
        <v>0.82600008314971096</v>
      </c>
      <c r="F6" s="54">
        <f t="shared" si="1"/>
        <v>35.900000000000006</v>
      </c>
      <c r="G6" s="55">
        <f t="shared" si="2"/>
        <v>29.653402985074628</v>
      </c>
      <c r="H6" s="53">
        <f>G6*$O$3/$O$3</f>
        <v>29.653402985074628</v>
      </c>
      <c r="I6" s="56">
        <v>1.9550000000000001</v>
      </c>
      <c r="J6" s="53">
        <f t="shared" si="3"/>
        <v>57.972402835820901</v>
      </c>
      <c r="K6" s="57">
        <f>(J6-H6)/B16*$O$3</f>
        <v>252848.21295309174</v>
      </c>
      <c r="R6" t="s">
        <v>130</v>
      </c>
      <c r="S6" s="1">
        <v>1202650000</v>
      </c>
      <c r="T6" s="1">
        <v>993389000</v>
      </c>
    </row>
    <row r="7" spans="1:20" hidden="1" x14ac:dyDescent="0.25">
      <c r="A7" s="38" t="s">
        <v>153</v>
      </c>
      <c r="B7" s="38">
        <f>191000/O3</f>
        <v>0.191</v>
      </c>
      <c r="C7" s="58">
        <v>270.57</v>
      </c>
      <c r="D7" s="58">
        <v>255.29499999999999</v>
      </c>
      <c r="E7" s="59">
        <f t="shared" si="0"/>
        <v>0.94354510847470152</v>
      </c>
      <c r="F7" s="60">
        <f t="shared" si="1"/>
        <v>1416.5968586387435</v>
      </c>
      <c r="G7" s="61">
        <f t="shared" si="2"/>
        <v>1336.6230366492146</v>
      </c>
      <c r="H7" s="59">
        <f>G7*$O$3/$O$3</f>
        <v>1336.6230366492146</v>
      </c>
      <c r="I7" s="62">
        <v>2.38</v>
      </c>
      <c r="J7" s="59">
        <f t="shared" si="3"/>
        <v>3181.1628272251305</v>
      </c>
      <c r="K7" s="63"/>
      <c r="R7" t="s">
        <v>153</v>
      </c>
      <c r="S7" s="1">
        <v>270570000</v>
      </c>
      <c r="T7" s="1">
        <v>255295000</v>
      </c>
    </row>
    <row r="8" spans="1:20" ht="15.75" thickTop="1" x14ac:dyDescent="0.25">
      <c r="A8" s="64" t="s">
        <v>167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20" x14ac:dyDescent="0.25">
      <c r="A9" s="64" t="s">
        <v>170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20" x14ac:dyDescent="0.25">
      <c r="A10" s="64" t="s">
        <v>177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20" x14ac:dyDescent="0.25">
      <c r="A11" s="64" t="s">
        <v>178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3" spans="1:20" hidden="1" x14ac:dyDescent="0.25">
      <c r="B13" t="s">
        <v>163</v>
      </c>
    </row>
    <row r="14" spans="1:20" hidden="1" x14ac:dyDescent="0.25">
      <c r="A14" t="s">
        <v>152</v>
      </c>
      <c r="B14">
        <f>21+42+115</f>
        <v>178</v>
      </c>
      <c r="H14" s="67">
        <f>2.5*H5</f>
        <v>9.4404574325149628</v>
      </c>
    </row>
    <row r="15" spans="1:20" hidden="1" x14ac:dyDescent="0.25">
      <c r="A15" t="s">
        <v>126</v>
      </c>
      <c r="B15">
        <f>7*'NC_livestock_by_head-feed-lbs'!C125</f>
        <v>56</v>
      </c>
    </row>
    <row r="16" spans="1:20" hidden="1" x14ac:dyDescent="0.25">
      <c r="A16" t="s">
        <v>130</v>
      </c>
      <c r="B16">
        <f>AVERAGE('NC_livestock_by_head-feed-lbs'!C136:C137)*7</f>
        <v>112</v>
      </c>
    </row>
    <row r="17" hidden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G27" sqref="G27"/>
    </sheetView>
  </sheetViews>
  <sheetFormatPr defaultRowHeight="15" x14ac:dyDescent="0.25"/>
  <cols>
    <col min="2" max="4" width="16.42578125" customWidth="1"/>
    <col min="5" max="8" width="13.140625" customWidth="1"/>
  </cols>
  <sheetData>
    <row r="1" spans="1:17" ht="16.5" thickBot="1" x14ac:dyDescent="0.3">
      <c r="A1" s="37" t="s">
        <v>231</v>
      </c>
      <c r="B1" s="38"/>
      <c r="C1" s="38"/>
      <c r="D1" s="38"/>
      <c r="E1" s="38"/>
      <c r="F1" s="38"/>
      <c r="G1" s="38"/>
      <c r="H1" s="38"/>
    </row>
    <row r="2" spans="1:17" ht="43.15" customHeight="1" thickTop="1" thickBot="1" x14ac:dyDescent="0.3">
      <c r="A2" s="73" t="s">
        <v>216</v>
      </c>
      <c r="B2" s="74" t="s">
        <v>219</v>
      </c>
      <c r="C2" s="74" t="s">
        <v>195</v>
      </c>
      <c r="D2" s="74" t="s">
        <v>191</v>
      </c>
      <c r="E2" s="74" t="s">
        <v>212</v>
      </c>
      <c r="F2" s="74" t="s">
        <v>223</v>
      </c>
      <c r="G2" s="74" t="s">
        <v>220</v>
      </c>
      <c r="H2" s="74" t="s">
        <v>221</v>
      </c>
      <c r="I2" s="36"/>
      <c r="J2" s="36"/>
      <c r="P2" s="35"/>
      <c r="Q2" s="35"/>
    </row>
    <row r="3" spans="1:17" ht="15.75" thickTop="1" x14ac:dyDescent="0.25">
      <c r="A3" s="40"/>
      <c r="B3" s="40"/>
      <c r="C3" s="40" t="s">
        <v>218</v>
      </c>
      <c r="D3" s="40" t="s">
        <v>218</v>
      </c>
      <c r="E3" s="40" t="s">
        <v>217</v>
      </c>
      <c r="F3" s="40" t="s">
        <v>217</v>
      </c>
      <c r="G3" s="40" t="s">
        <v>217</v>
      </c>
      <c r="H3" s="43" t="s">
        <v>230</v>
      </c>
      <c r="I3" s="1"/>
      <c r="J3" s="1"/>
      <c r="K3" s="1"/>
      <c r="L3" s="1"/>
      <c r="P3" s="35"/>
    </row>
    <row r="4" spans="1:17" x14ac:dyDescent="0.25">
      <c r="A4" s="80" t="s">
        <v>30</v>
      </c>
      <c r="B4" s="75">
        <v>537824.11329935119</v>
      </c>
      <c r="C4" s="75">
        <v>817492.65221501386</v>
      </c>
      <c r="D4" s="75">
        <v>1140187.1201946246</v>
      </c>
      <c r="E4" s="75">
        <v>1017.6859792550953</v>
      </c>
      <c r="F4" s="75">
        <v>1007.0850836378547</v>
      </c>
      <c r="G4" s="76">
        <v>241.70042007308513</v>
      </c>
      <c r="H4" s="84">
        <v>1.6706038391130031</v>
      </c>
      <c r="P4" s="1"/>
      <c r="Q4" s="1"/>
    </row>
    <row r="5" spans="1:17" x14ac:dyDescent="0.25">
      <c r="A5" s="79" t="s">
        <v>81</v>
      </c>
      <c r="B5" s="77">
        <v>523944.80514365155</v>
      </c>
      <c r="C5" s="77">
        <v>796396.10381835036</v>
      </c>
      <c r="D5" s="77">
        <v>1110762.9869045413</v>
      </c>
      <c r="E5" s="77">
        <v>991.42316031013172</v>
      </c>
      <c r="F5" s="77">
        <v>981.0958357235678</v>
      </c>
      <c r="G5" s="78">
        <v>235.46300057365627</v>
      </c>
      <c r="H5" s="85">
        <v>1.6274915559040899</v>
      </c>
      <c r="P5" s="1"/>
      <c r="Q5" s="1"/>
    </row>
    <row r="6" spans="1:17" x14ac:dyDescent="0.25">
      <c r="A6" s="79" t="s">
        <v>8</v>
      </c>
      <c r="B6" s="77">
        <v>181200.77663577383</v>
      </c>
      <c r="C6" s="77">
        <v>275425.18048637622</v>
      </c>
      <c r="D6" s="77">
        <v>384145.64646784053</v>
      </c>
      <c r="E6" s="77">
        <v>342.87322797987258</v>
      </c>
      <c r="F6" s="77">
        <v>339.30163185508223</v>
      </c>
      <c r="G6" s="78">
        <v>81.432391645219738</v>
      </c>
      <c r="H6" s="85">
        <v>0.56285076405544399</v>
      </c>
      <c r="P6" s="1"/>
      <c r="Q6" s="1"/>
    </row>
    <row r="7" spans="1:17" x14ac:dyDescent="0.25">
      <c r="A7" s="79" t="s">
        <v>95</v>
      </c>
      <c r="B7" s="77">
        <v>153375.36074142723</v>
      </c>
      <c r="C7" s="77">
        <v>233130.54832696938</v>
      </c>
      <c r="D7" s="77">
        <v>325155.76477182575</v>
      </c>
      <c r="E7" s="77">
        <v>290.22119003218592</v>
      </c>
      <c r="F7" s="77">
        <v>287.19805263601728</v>
      </c>
      <c r="G7" s="78">
        <v>68.927532632644144</v>
      </c>
      <c r="H7" s="85">
        <v>0.47641870296238209</v>
      </c>
      <c r="P7" s="1"/>
      <c r="Q7" s="1"/>
    </row>
    <row r="8" spans="1:17" x14ac:dyDescent="0.25">
      <c r="A8" s="79" t="s">
        <v>77</v>
      </c>
      <c r="B8" s="77">
        <v>105321.0992493049</v>
      </c>
      <c r="C8" s="77">
        <v>160088.07085894345</v>
      </c>
      <c r="D8" s="77">
        <v>223280.7304085264</v>
      </c>
      <c r="E8" s="77">
        <v>199.29155903445661</v>
      </c>
      <c r="F8" s="77">
        <v>197.21560529451438</v>
      </c>
      <c r="G8" s="78">
        <v>47.331745270683449</v>
      </c>
      <c r="H8" s="85">
        <v>0.32715125334582623</v>
      </c>
      <c r="P8" s="1"/>
      <c r="Q8" s="1"/>
    </row>
    <row r="9" spans="1:17" x14ac:dyDescent="0.25">
      <c r="A9" s="79" t="s">
        <v>39</v>
      </c>
      <c r="B9" s="77">
        <v>89171.269091751616</v>
      </c>
      <c r="C9" s="77">
        <v>135540.32901946246</v>
      </c>
      <c r="D9" s="77">
        <v>189043.09047451345</v>
      </c>
      <c r="E9" s="77">
        <v>168.73239422150752</v>
      </c>
      <c r="F9" s="77">
        <v>166.97476511503348</v>
      </c>
      <c r="G9" s="78">
        <v>40.073943627608031</v>
      </c>
      <c r="H9" s="85">
        <v>0.27698621314947025</v>
      </c>
      <c r="P9" s="1"/>
      <c r="Q9" s="1"/>
    </row>
    <row r="10" spans="1:17" x14ac:dyDescent="0.25">
      <c r="A10" s="79" t="s">
        <v>89</v>
      </c>
      <c r="B10" s="77">
        <v>87804.613531047275</v>
      </c>
      <c r="C10" s="77">
        <v>133463.01256719185</v>
      </c>
      <c r="D10" s="77">
        <v>186145.78068582024</v>
      </c>
      <c r="E10" s="77">
        <v>166.14636996523606</v>
      </c>
      <c r="F10" s="77">
        <v>164.41567861143153</v>
      </c>
      <c r="G10" s="78">
        <v>39.459762866743567</v>
      </c>
      <c r="H10" s="85">
        <v>0.27274107060193442</v>
      </c>
      <c r="P10" s="1"/>
      <c r="Q10" s="1"/>
    </row>
    <row r="11" spans="1:17" x14ac:dyDescent="0.25">
      <c r="A11" s="79" t="s">
        <v>48</v>
      </c>
      <c r="B11" s="77">
        <v>80259.956950880442</v>
      </c>
      <c r="C11" s="77">
        <v>121995.13456533827</v>
      </c>
      <c r="D11" s="77">
        <v>170151.10873586655</v>
      </c>
      <c r="E11" s="77">
        <v>151.870157668193</v>
      </c>
      <c r="F11" s="77">
        <v>150.2881768591493</v>
      </c>
      <c r="G11" s="78">
        <v>36.069162446195833</v>
      </c>
      <c r="H11" s="85">
        <v>0.24930565382544551</v>
      </c>
      <c r="P11" s="1"/>
      <c r="Q11" s="1"/>
    </row>
    <row r="12" spans="1:17" x14ac:dyDescent="0.25">
      <c r="A12" s="79" t="s">
        <v>75</v>
      </c>
      <c r="B12" s="77">
        <v>78533.534244670998</v>
      </c>
      <c r="C12" s="77">
        <v>119370.97205189992</v>
      </c>
      <c r="D12" s="77">
        <v>166491.09259870253</v>
      </c>
      <c r="E12" s="77">
        <v>148.60337185675229</v>
      </c>
      <c r="F12" s="77">
        <v>147.0554200665778</v>
      </c>
      <c r="G12" s="78">
        <v>35.293300815978668</v>
      </c>
      <c r="H12" s="85">
        <v>0.24394299281861173</v>
      </c>
      <c r="P12" s="1"/>
      <c r="Q12" s="1"/>
    </row>
    <row r="13" spans="1:17" ht="15.75" thickBot="1" x14ac:dyDescent="0.3">
      <c r="A13" s="81" t="s">
        <v>53</v>
      </c>
      <c r="B13" s="82">
        <v>76245.599786839681</v>
      </c>
      <c r="C13" s="82">
        <v>115893.31167599632</v>
      </c>
      <c r="D13" s="82">
        <v>161640.67154810013</v>
      </c>
      <c r="E13" s="82">
        <v>144.27407764771121</v>
      </c>
      <c r="F13" s="82">
        <v>142.77122267221421</v>
      </c>
      <c r="G13" s="83">
        <v>34.265093441331409</v>
      </c>
      <c r="H13" s="86">
        <v>0.23683614878842513</v>
      </c>
      <c r="P13" s="1"/>
      <c r="Q13" s="1"/>
    </row>
    <row r="14" spans="1:17" ht="15.75" thickTop="1" x14ac:dyDescent="0.25">
      <c r="A14" s="64" t="s">
        <v>167</v>
      </c>
      <c r="B14" s="63"/>
      <c r="C14" s="63"/>
      <c r="D14" s="63"/>
      <c r="E14" s="63"/>
      <c r="F14" s="63"/>
      <c r="G14" s="63"/>
      <c r="H14" s="63"/>
    </row>
    <row r="15" spans="1:17" x14ac:dyDescent="0.25">
      <c r="A15" s="64" t="s">
        <v>225</v>
      </c>
      <c r="B15" s="63"/>
      <c r="C15" s="63"/>
      <c r="D15" s="63"/>
      <c r="E15" s="63"/>
      <c r="F15" s="63"/>
      <c r="G15" s="63"/>
      <c r="H15" s="63"/>
    </row>
    <row r="16" spans="1:17" x14ac:dyDescent="0.25">
      <c r="A16" s="64" t="s">
        <v>224</v>
      </c>
      <c r="B16" s="63"/>
      <c r="C16" s="63"/>
      <c r="D16" s="63"/>
      <c r="E16" s="63"/>
      <c r="F16" s="63"/>
      <c r="G16" s="63"/>
      <c r="H16" s="63"/>
    </row>
    <row r="17" spans="1:8" x14ac:dyDescent="0.25">
      <c r="A17" s="64" t="s">
        <v>222</v>
      </c>
      <c r="B17" s="63"/>
      <c r="C17" s="63"/>
      <c r="D17" s="63"/>
      <c r="E17" s="63"/>
      <c r="F17" s="63"/>
      <c r="G17" s="63"/>
      <c r="H17" s="6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tabSelected="1" topLeftCell="A165" workbookViewId="0">
      <selection activeCell="AB114" sqref="AB114"/>
    </sheetView>
  </sheetViews>
  <sheetFormatPr defaultRowHeight="15" x14ac:dyDescent="0.25"/>
  <cols>
    <col min="2" max="2" width="39.5703125" customWidth="1"/>
    <col min="3" max="3" width="27.28515625" customWidth="1"/>
    <col min="4" max="4" width="18.28515625" customWidth="1"/>
    <col min="5" max="5" width="15.7109375" customWidth="1"/>
    <col min="6" max="6" width="19.28515625" bestFit="1" customWidth="1"/>
    <col min="7" max="7" width="15.7109375" customWidth="1"/>
    <col min="8" max="9" width="12.42578125" customWidth="1"/>
    <col min="10" max="10" width="14.5703125" customWidth="1"/>
    <col min="11" max="16" width="12.42578125" hidden="1" customWidth="1"/>
    <col min="17" max="18" width="7.85546875" hidden="1" customWidth="1"/>
    <col min="19" max="19" width="12.42578125" bestFit="1" customWidth="1"/>
    <col min="20" max="20" width="15.5703125" customWidth="1"/>
    <col min="21" max="21" width="16" customWidth="1"/>
    <col min="22" max="22" width="15.28515625" customWidth="1"/>
    <col min="23" max="23" width="17.28515625" customWidth="1"/>
    <col min="24" max="24" width="17" customWidth="1"/>
    <col min="25" max="25" width="16" bestFit="1" customWidth="1"/>
    <col min="26" max="26" width="11" customWidth="1"/>
    <col min="27" max="27" width="11.140625" customWidth="1"/>
    <col min="28" max="28" width="13.7109375" customWidth="1"/>
  </cols>
  <sheetData>
    <row r="1" spans="1:31" ht="15.75" x14ac:dyDescent="0.25">
      <c r="A1" s="37" t="s">
        <v>229</v>
      </c>
    </row>
    <row r="2" spans="1:31" ht="15.75" x14ac:dyDescent="0.25">
      <c r="A2" s="108" t="s">
        <v>244</v>
      </c>
      <c r="B2" s="108"/>
      <c r="C2" s="109">
        <f>H110/1000000</f>
        <v>161.23453846153848</v>
      </c>
      <c r="D2" s="108" t="s">
        <v>181</v>
      </c>
    </row>
    <row r="3" spans="1:31" ht="15.75" x14ac:dyDescent="0.25">
      <c r="A3" s="108" t="s">
        <v>245</v>
      </c>
      <c r="B3" s="108"/>
      <c r="C3" s="110">
        <f>Y110/1000000000</f>
        <v>2.7217357196029792</v>
      </c>
      <c r="D3" s="108" t="s">
        <v>189</v>
      </c>
    </row>
    <row r="4" spans="1:31" ht="15.75" x14ac:dyDescent="0.25">
      <c r="A4" s="108" t="s">
        <v>246</v>
      </c>
      <c r="B4" s="108"/>
      <c r="C4" s="112">
        <f>(K110/365)</f>
        <v>21573.54413403583</v>
      </c>
      <c r="D4" s="108" t="s">
        <v>241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1" ht="60" customHeight="1" x14ac:dyDescent="0.25">
      <c r="A5" s="11" t="s">
        <v>113</v>
      </c>
      <c r="B5" s="2" t="s">
        <v>104</v>
      </c>
      <c r="C5" s="7" t="s">
        <v>109</v>
      </c>
      <c r="D5" s="7" t="s">
        <v>187</v>
      </c>
      <c r="E5" s="7" t="s">
        <v>110</v>
      </c>
      <c r="F5" s="7" t="s">
        <v>188</v>
      </c>
      <c r="G5" s="7" t="s">
        <v>108</v>
      </c>
      <c r="H5" s="7" t="s">
        <v>234</v>
      </c>
      <c r="I5" s="69" t="s">
        <v>215</v>
      </c>
      <c r="J5" s="69" t="s">
        <v>195</v>
      </c>
      <c r="K5" s="69" t="s">
        <v>191</v>
      </c>
      <c r="L5" s="69" t="s">
        <v>195</v>
      </c>
      <c r="M5" s="69" t="s">
        <v>191</v>
      </c>
      <c r="N5" s="69" t="s">
        <v>202</v>
      </c>
      <c r="O5" s="69" t="s">
        <v>203</v>
      </c>
      <c r="P5" s="69" t="s">
        <v>204</v>
      </c>
      <c r="Q5" s="69" t="s">
        <v>212</v>
      </c>
      <c r="R5" s="69" t="s">
        <v>233</v>
      </c>
      <c r="S5" s="11"/>
      <c r="T5" s="7" t="s">
        <v>182</v>
      </c>
      <c r="U5" s="7" t="s">
        <v>183</v>
      </c>
      <c r="V5" s="7" t="s">
        <v>184</v>
      </c>
      <c r="W5" s="7" t="s">
        <v>185</v>
      </c>
      <c r="X5" s="7" t="s">
        <v>186</v>
      </c>
      <c r="Y5" s="7" t="s">
        <v>121</v>
      </c>
      <c r="Z5" s="7" t="s">
        <v>148</v>
      </c>
      <c r="AA5" s="7" t="s">
        <v>105</v>
      </c>
      <c r="AB5" s="7" t="s">
        <v>106</v>
      </c>
      <c r="AC5" s="11"/>
      <c r="AD5" s="11"/>
      <c r="AE5" s="11"/>
    </row>
    <row r="6" spans="1:31" x14ac:dyDescent="0.25">
      <c r="A6" s="11"/>
      <c r="B6" s="3"/>
      <c r="C6" s="4">
        <v>2017</v>
      </c>
      <c r="D6" s="3">
        <f>AA6</f>
        <v>2016</v>
      </c>
      <c r="E6" s="3">
        <v>2016</v>
      </c>
      <c r="F6" s="3">
        <f>AB6</f>
        <v>2016</v>
      </c>
      <c r="G6" s="3">
        <v>2017</v>
      </c>
      <c r="H6" s="11"/>
      <c r="I6" s="90"/>
      <c r="J6" s="90"/>
      <c r="K6" s="90"/>
      <c r="L6" s="90"/>
      <c r="M6" s="90"/>
      <c r="N6" s="90"/>
      <c r="O6" s="90"/>
      <c r="P6" s="90"/>
      <c r="Q6" s="90"/>
      <c r="R6" s="90"/>
      <c r="S6" s="11"/>
      <c r="T6" s="11"/>
      <c r="U6" s="11"/>
      <c r="V6" s="11"/>
      <c r="W6" s="11"/>
      <c r="X6" s="11"/>
      <c r="Y6" s="11"/>
      <c r="Z6" s="11"/>
      <c r="AA6" s="3">
        <v>2016</v>
      </c>
      <c r="AB6" s="3">
        <v>2016</v>
      </c>
      <c r="AC6" s="11"/>
      <c r="AD6" s="11"/>
      <c r="AE6" s="11"/>
    </row>
    <row r="7" spans="1:31" ht="38.25" x14ac:dyDescent="0.25">
      <c r="A7" s="8"/>
      <c r="B7" s="8"/>
      <c r="C7" s="9" t="s">
        <v>107</v>
      </c>
      <c r="D7" s="8" t="str">
        <f>AA7</f>
        <v>Head</v>
      </c>
      <c r="E7" s="8" t="s">
        <v>107</v>
      </c>
      <c r="F7" s="8" t="str">
        <f>AB7</f>
        <v>Head</v>
      </c>
      <c r="G7" s="8" t="s">
        <v>107</v>
      </c>
      <c r="H7" s="8" t="s">
        <v>107</v>
      </c>
      <c r="I7" s="32"/>
      <c r="J7" s="111" t="s">
        <v>235</v>
      </c>
      <c r="K7" s="111" t="s">
        <v>236</v>
      </c>
      <c r="L7" s="111" t="s">
        <v>237</v>
      </c>
      <c r="M7" s="111" t="s">
        <v>237</v>
      </c>
      <c r="N7" s="111" t="s">
        <v>239</v>
      </c>
      <c r="O7" s="111" t="s">
        <v>238</v>
      </c>
      <c r="P7" s="111" t="s">
        <v>240</v>
      </c>
      <c r="Q7" s="111" t="s">
        <v>196</v>
      </c>
      <c r="R7" s="111" t="s">
        <v>196</v>
      </c>
      <c r="S7" s="11"/>
      <c r="T7" s="32" t="s">
        <v>125</v>
      </c>
      <c r="U7" s="32" t="s">
        <v>125</v>
      </c>
      <c r="V7" s="32" t="s">
        <v>125</v>
      </c>
      <c r="W7" s="32" t="s">
        <v>125</v>
      </c>
      <c r="X7" s="32" t="s">
        <v>125</v>
      </c>
      <c r="Y7" s="8" t="str">
        <f>X7</f>
        <v>lbs</v>
      </c>
      <c r="Z7" s="34"/>
      <c r="AA7" s="8" t="s">
        <v>107</v>
      </c>
      <c r="AB7" s="8" t="s">
        <v>107</v>
      </c>
      <c r="AC7" s="11"/>
      <c r="AD7" s="11"/>
      <c r="AE7" s="11"/>
    </row>
    <row r="8" spans="1:31" x14ac:dyDescent="0.25">
      <c r="A8" s="11">
        <v>1</v>
      </c>
      <c r="B8" s="3" t="s">
        <v>30</v>
      </c>
      <c r="C8" s="5">
        <v>2000000</v>
      </c>
      <c r="D8" s="5">
        <f t="shared" ref="D8:D39" si="0">AA8/$C$127</f>
        <v>10584615.384615384</v>
      </c>
      <c r="E8" s="6">
        <v>460000</v>
      </c>
      <c r="F8" s="5">
        <f>AB8/$C$138</f>
        <v>1600000</v>
      </c>
      <c r="G8" s="6">
        <v>22500</v>
      </c>
      <c r="H8" s="13">
        <f t="shared" ref="H8:H39" si="1">SUM(C8:G8)</f>
        <v>14667115.384615384</v>
      </c>
      <c r="I8" s="94">
        <f>IFERROR(C8*$C$157, 0) + IFERROR(D8*$D$157, 0) + IFERROR(E8*$E$157, 0) + IFERROR(F8*$F$157, 0) + IFERROR(G8*$G$157, 0)</f>
        <v>537824.11329935119</v>
      </c>
      <c r="J8" s="94">
        <f>$C$163*I8</f>
        <v>817492.65221501386</v>
      </c>
      <c r="K8" s="94">
        <f>$C$164*I8</f>
        <v>1140187.1201946246</v>
      </c>
      <c r="L8" s="94">
        <f>J8/52</f>
        <v>15721.01254259642</v>
      </c>
      <c r="M8" s="94">
        <f>K8/52</f>
        <v>21926.675388358166</v>
      </c>
      <c r="N8" s="94">
        <f>M8/$E$170</f>
        <v>1007.0850836378547</v>
      </c>
      <c r="O8" s="96">
        <f t="shared" ref="O8:O39" si="2">M8/$E$171</f>
        <v>241.70042007308513</v>
      </c>
      <c r="P8" s="97">
        <f t="shared" ref="P8:P39" si="3">M8/$E$172</f>
        <v>0.41765095977825079</v>
      </c>
      <c r="Q8" s="94">
        <f>M8/$E$173</f>
        <v>1017.6859792550953</v>
      </c>
      <c r="R8" s="94">
        <f>M8/$E$174</f>
        <v>833.44972438994876</v>
      </c>
      <c r="S8" s="11"/>
      <c r="T8" s="13">
        <f>C8*$F$122</f>
        <v>281684946.23655915</v>
      </c>
      <c r="U8" s="13">
        <f t="shared" ref="U8:U39" si="4">AA8*$C$126/$C$127</f>
        <v>42338461.538461536</v>
      </c>
      <c r="V8" s="13">
        <f t="shared" ref="V8:V14" si="5">E8*$C$130</f>
        <v>2300000</v>
      </c>
      <c r="W8" s="13">
        <f>AB8*$C$135/$C$138</f>
        <v>36000000</v>
      </c>
      <c r="X8" s="13">
        <f t="shared" ref="X8:X39" si="6">G8*$F$152</f>
        <v>17422590.361445785</v>
      </c>
      <c r="Y8" s="13">
        <f t="shared" ref="Y8:Y39" si="7">SUM(T8:X8)</f>
        <v>379745998.1364665</v>
      </c>
      <c r="Z8" s="33">
        <f t="shared" ref="Z8:Z39" si="8">Y8/H8</f>
        <v>25.890980481055553</v>
      </c>
      <c r="AA8" s="5">
        <v>68800000</v>
      </c>
      <c r="AB8" s="5">
        <v>5200000</v>
      </c>
      <c r="AC8" s="11"/>
      <c r="AD8" s="11"/>
      <c r="AE8" s="11"/>
    </row>
    <row r="9" spans="1:31" x14ac:dyDescent="0.25">
      <c r="A9" s="11">
        <f t="shared" ref="A9:A40" si="9">A8+1</f>
        <v>2</v>
      </c>
      <c r="B9" s="3" t="s">
        <v>89</v>
      </c>
      <c r="C9" s="5" t="s">
        <v>112</v>
      </c>
      <c r="D9" s="5">
        <f t="shared" si="0"/>
        <v>9907692.307692308</v>
      </c>
      <c r="E9" s="6">
        <v>1400000</v>
      </c>
      <c r="F9" s="5">
        <f>AB9/$C$138</f>
        <v>1000000</v>
      </c>
      <c r="G9" s="6">
        <v>20000</v>
      </c>
      <c r="H9" s="13">
        <f>SUM(C9:G9)</f>
        <v>12327692.307692308</v>
      </c>
      <c r="I9" s="94">
        <f t="shared" ref="I9:I72" si="10">IFERROR(C9*$C$157, 0) + IFERROR(D9*$D$157, 0) + IFERROR(E9*$E$157, 0) + IFERROR(F9*$F$157, 0) + IFERROR(G9*$G$157, 0)</f>
        <v>87804.613531047275</v>
      </c>
      <c r="J9" s="94">
        <f t="shared" ref="J9:J72" si="11">$C$163*I9</f>
        <v>133463.01256719185</v>
      </c>
      <c r="K9" s="94">
        <f t="shared" ref="K9:K72" si="12">$C$164*I9</f>
        <v>186145.78068582024</v>
      </c>
      <c r="L9" s="94">
        <f t="shared" ref="L9:L72" si="13">J9/52</f>
        <v>2566.5963955229204</v>
      </c>
      <c r="M9" s="94">
        <f t="shared" ref="M9:M72" si="14">K9/52</f>
        <v>3579.7265516503894</v>
      </c>
      <c r="N9" s="94">
        <f t="shared" ref="N9:N72" si="15">M9/$E$170</f>
        <v>164.41567861143153</v>
      </c>
      <c r="O9" s="96">
        <f t="shared" si="2"/>
        <v>39.459762866743567</v>
      </c>
      <c r="P9" s="97">
        <f t="shared" si="3"/>
        <v>6.8185267650483605E-2</v>
      </c>
      <c r="Q9" s="94">
        <f t="shared" ref="Q9:Q72" si="16">M9/$E$173</f>
        <v>166.14636996523606</v>
      </c>
      <c r="R9" s="94">
        <f t="shared" ref="R9:R72" si="17">M9/$E$174</f>
        <v>136.06814781635711</v>
      </c>
      <c r="S9" s="11"/>
      <c r="T9" s="13">
        <v>0</v>
      </c>
      <c r="U9" s="13">
        <f t="shared" si="4"/>
        <v>39630769.230769232</v>
      </c>
      <c r="V9" s="13">
        <f t="shared" si="5"/>
        <v>7000000</v>
      </c>
      <c r="W9" s="13">
        <f>AB9*$C$135/$C$138</f>
        <v>22500000</v>
      </c>
      <c r="X9" s="13">
        <f t="shared" si="6"/>
        <v>15486746.987951808</v>
      </c>
      <c r="Y9" s="13">
        <f t="shared" si="7"/>
        <v>84617516.218721032</v>
      </c>
      <c r="Z9" s="33">
        <f t="shared" si="8"/>
        <v>6.8640191616334292</v>
      </c>
      <c r="AA9" s="5">
        <v>64400000</v>
      </c>
      <c r="AB9" s="5">
        <v>3250000</v>
      </c>
      <c r="AC9" s="11"/>
      <c r="AD9" s="11"/>
      <c r="AE9" s="11"/>
    </row>
    <row r="10" spans="1:31" x14ac:dyDescent="0.25">
      <c r="A10" s="11">
        <f t="shared" si="9"/>
        <v>3</v>
      </c>
      <c r="B10" s="3" t="s">
        <v>96</v>
      </c>
      <c r="C10" s="5" t="s">
        <v>112</v>
      </c>
      <c r="D10" s="5">
        <f t="shared" si="0"/>
        <v>8307692.307692308</v>
      </c>
      <c r="E10" s="6">
        <v>410000</v>
      </c>
      <c r="F10" s="5" t="str">
        <f>AB10</f>
        <v>*</v>
      </c>
      <c r="G10" s="6">
        <v>39500</v>
      </c>
      <c r="H10" s="13">
        <f t="shared" si="1"/>
        <v>8757192.307692308</v>
      </c>
      <c r="I10" s="94">
        <f t="shared" si="10"/>
        <v>69178.111723818351</v>
      </c>
      <c r="J10" s="94">
        <f t="shared" si="11"/>
        <v>105150.72982020389</v>
      </c>
      <c r="K10" s="94">
        <f t="shared" si="12"/>
        <v>146657.59685449491</v>
      </c>
      <c r="L10" s="94">
        <f t="shared" si="13"/>
        <v>2022.1294196193057</v>
      </c>
      <c r="M10" s="94">
        <f t="shared" si="14"/>
        <v>2820.338401047979</v>
      </c>
      <c r="N10" s="94">
        <f t="shared" si="15"/>
        <v>129.53722733609257</v>
      </c>
      <c r="O10" s="96">
        <f t="shared" si="2"/>
        <v>31.088934560662214</v>
      </c>
      <c r="P10" s="97">
        <f t="shared" si="3"/>
        <v>5.3720731448532934E-2</v>
      </c>
      <c r="Q10" s="94">
        <f t="shared" si="16"/>
        <v>130.90077709752512</v>
      </c>
      <c r="R10" s="94">
        <f t="shared" si="17"/>
        <v>107.20322262297314</v>
      </c>
      <c r="S10" s="11"/>
      <c r="T10" s="13">
        <v>0</v>
      </c>
      <c r="U10" s="13">
        <f t="shared" si="4"/>
        <v>33230769.230769232</v>
      </c>
      <c r="V10" s="13">
        <f t="shared" si="5"/>
        <v>2050000</v>
      </c>
      <c r="W10" s="13">
        <v>0</v>
      </c>
      <c r="X10" s="13">
        <f t="shared" si="6"/>
        <v>30586325.301204819</v>
      </c>
      <c r="Y10" s="13">
        <f t="shared" si="7"/>
        <v>65867094.531974047</v>
      </c>
      <c r="Z10" s="33">
        <f t="shared" si="8"/>
        <v>7.5214854507781528</v>
      </c>
      <c r="AA10" s="5">
        <v>54000000</v>
      </c>
      <c r="AB10" s="5" t="s">
        <v>102</v>
      </c>
      <c r="AC10" s="11"/>
      <c r="AD10" s="11"/>
      <c r="AE10" s="11"/>
    </row>
    <row r="11" spans="1:31" x14ac:dyDescent="0.25">
      <c r="A11" s="11">
        <f t="shared" si="9"/>
        <v>4</v>
      </c>
      <c r="B11" s="3" t="s">
        <v>81</v>
      </c>
      <c r="C11" s="5">
        <v>1900000</v>
      </c>
      <c r="D11" s="5">
        <f t="shared" si="0"/>
        <v>6292307.692307692</v>
      </c>
      <c r="E11" s="6">
        <v>300000</v>
      </c>
      <c r="F11" s="5">
        <f>AB11/$C$138</f>
        <v>2600000</v>
      </c>
      <c r="G11" s="6">
        <v>27500</v>
      </c>
      <c r="H11" s="13">
        <f t="shared" si="1"/>
        <v>11119807.692307692</v>
      </c>
      <c r="I11" s="94">
        <f t="shared" si="10"/>
        <v>523944.80514365155</v>
      </c>
      <c r="J11" s="94">
        <f t="shared" si="11"/>
        <v>796396.10381835036</v>
      </c>
      <c r="K11" s="94">
        <f t="shared" si="12"/>
        <v>1110762.9869045413</v>
      </c>
      <c r="L11" s="94">
        <f t="shared" si="13"/>
        <v>15315.30968881443</v>
      </c>
      <c r="M11" s="94">
        <f t="shared" si="14"/>
        <v>21360.826671241179</v>
      </c>
      <c r="N11" s="94">
        <f t="shared" si="15"/>
        <v>981.0958357235678</v>
      </c>
      <c r="O11" s="96">
        <f t="shared" si="2"/>
        <v>235.46300057365627</v>
      </c>
      <c r="P11" s="97">
        <f t="shared" si="3"/>
        <v>0.40687288897602247</v>
      </c>
      <c r="Q11" s="94">
        <f t="shared" si="16"/>
        <v>991.42316031013172</v>
      </c>
      <c r="R11" s="94">
        <f t="shared" si="17"/>
        <v>811.94138128846987</v>
      </c>
      <c r="S11" s="11"/>
      <c r="T11" s="13">
        <f>C11*$F$122</f>
        <v>267600698.92473119</v>
      </c>
      <c r="U11" s="13">
        <f t="shared" si="4"/>
        <v>25169230.769230768</v>
      </c>
      <c r="V11" s="13">
        <f t="shared" si="5"/>
        <v>1500000</v>
      </c>
      <c r="W11" s="13">
        <f>AB11*$C$135/$C$138</f>
        <v>58500000</v>
      </c>
      <c r="X11" s="13">
        <f t="shared" si="6"/>
        <v>21294277.108433735</v>
      </c>
      <c r="Y11" s="13">
        <f t="shared" si="7"/>
        <v>374064206.8023957</v>
      </c>
      <c r="Z11" s="33">
        <f t="shared" si="8"/>
        <v>33.639449274033822</v>
      </c>
      <c r="AA11" s="5">
        <v>40900000</v>
      </c>
      <c r="AB11" s="5">
        <v>8450000</v>
      </c>
      <c r="AC11" s="11"/>
      <c r="AD11" s="11"/>
      <c r="AE11" s="11"/>
    </row>
    <row r="12" spans="1:31" x14ac:dyDescent="0.25">
      <c r="A12" s="11">
        <f t="shared" si="9"/>
        <v>5</v>
      </c>
      <c r="B12" s="3" t="s">
        <v>77</v>
      </c>
      <c r="C12" s="5">
        <v>350000</v>
      </c>
      <c r="D12" s="5">
        <f t="shared" si="0"/>
        <v>7661538.461538462</v>
      </c>
      <c r="E12" s="6">
        <v>2000</v>
      </c>
      <c r="F12" s="5">
        <f>AB12/$C$138</f>
        <v>66153.846153846156</v>
      </c>
      <c r="G12" s="6">
        <v>8100</v>
      </c>
      <c r="H12" s="13">
        <f t="shared" si="1"/>
        <v>8087792.307692308</v>
      </c>
      <c r="I12" s="94">
        <f t="shared" si="10"/>
        <v>105321.0992493049</v>
      </c>
      <c r="J12" s="94">
        <f t="shared" si="11"/>
        <v>160088.07085894345</v>
      </c>
      <c r="K12" s="94">
        <f t="shared" si="12"/>
        <v>223280.7304085264</v>
      </c>
      <c r="L12" s="94">
        <f t="shared" si="13"/>
        <v>3078.616747287374</v>
      </c>
      <c r="M12" s="94">
        <f t="shared" si="14"/>
        <v>4293.8602001639692</v>
      </c>
      <c r="N12" s="94">
        <f t="shared" si="15"/>
        <v>197.21560529451438</v>
      </c>
      <c r="O12" s="96">
        <f t="shared" si="2"/>
        <v>47.331745270683449</v>
      </c>
      <c r="P12" s="97">
        <f t="shared" si="3"/>
        <v>8.1787813336456558E-2</v>
      </c>
      <c r="Q12" s="94">
        <f t="shared" si="16"/>
        <v>199.29155903445661</v>
      </c>
      <c r="R12" s="94">
        <f t="shared" si="17"/>
        <v>163.21291472649463</v>
      </c>
      <c r="S12" s="11"/>
      <c r="T12" s="13">
        <f>C12*$F$122</f>
        <v>49294865.591397852</v>
      </c>
      <c r="U12" s="13">
        <f t="shared" si="4"/>
        <v>30646153.846153848</v>
      </c>
      <c r="V12" s="13">
        <f t="shared" si="5"/>
        <v>10000</v>
      </c>
      <c r="W12" s="13">
        <f>AB12*$C$135/$C$138</f>
        <v>1488461.5384615385</v>
      </c>
      <c r="X12" s="13">
        <f t="shared" si="6"/>
        <v>6272132.5301204827</v>
      </c>
      <c r="Y12" s="13">
        <f t="shared" si="7"/>
        <v>87711613.50613372</v>
      </c>
      <c r="Z12" s="33">
        <f t="shared" si="8"/>
        <v>10.844938911538456</v>
      </c>
      <c r="AA12" s="5">
        <v>49800000</v>
      </c>
      <c r="AB12" s="5">
        <v>215000</v>
      </c>
      <c r="AC12" s="11"/>
      <c r="AD12" s="11"/>
      <c r="AE12" s="11"/>
    </row>
    <row r="13" spans="1:31" x14ac:dyDescent="0.25">
      <c r="A13" s="11">
        <f t="shared" si="9"/>
        <v>6</v>
      </c>
      <c r="B13" s="3" t="s">
        <v>75</v>
      </c>
      <c r="C13" s="5">
        <v>23000</v>
      </c>
      <c r="D13" s="5">
        <f t="shared" si="0"/>
        <v>5630769.230769231</v>
      </c>
      <c r="E13" s="6">
        <v>540000</v>
      </c>
      <c r="F13" s="5" t="str">
        <f>AB13</f>
        <v>*</v>
      </c>
      <c r="G13" s="6">
        <v>45500</v>
      </c>
      <c r="H13" s="13">
        <f t="shared" si="1"/>
        <v>6239269.230769231</v>
      </c>
      <c r="I13" s="94">
        <f t="shared" si="10"/>
        <v>78533.534244670998</v>
      </c>
      <c r="J13" s="94">
        <f t="shared" si="11"/>
        <v>119370.97205189992</v>
      </c>
      <c r="K13" s="94">
        <f t="shared" si="12"/>
        <v>166491.09259870253</v>
      </c>
      <c r="L13" s="94">
        <f t="shared" si="13"/>
        <v>2295.5956163826909</v>
      </c>
      <c r="M13" s="94">
        <f t="shared" si="14"/>
        <v>3201.7517807442791</v>
      </c>
      <c r="N13" s="94">
        <f t="shared" si="15"/>
        <v>147.0554200665778</v>
      </c>
      <c r="O13" s="96">
        <f t="shared" si="2"/>
        <v>35.293300815978668</v>
      </c>
      <c r="P13" s="97">
        <f t="shared" si="3"/>
        <v>6.0985748204652933E-2</v>
      </c>
      <c r="Q13" s="94">
        <f t="shared" si="16"/>
        <v>148.60337185675229</v>
      </c>
      <c r="R13" s="94">
        <f t="shared" si="17"/>
        <v>121.70103729647816</v>
      </c>
      <c r="S13" s="11"/>
      <c r="T13" s="13">
        <f>C13*$F$122</f>
        <v>3239376.8817204302</v>
      </c>
      <c r="U13" s="13">
        <f t="shared" si="4"/>
        <v>22523076.923076924</v>
      </c>
      <c r="V13" s="13">
        <f t="shared" si="5"/>
        <v>2700000</v>
      </c>
      <c r="W13" s="13">
        <v>0</v>
      </c>
      <c r="X13" s="13">
        <f t="shared" si="6"/>
        <v>35232349.397590362</v>
      </c>
      <c r="Y13" s="13">
        <f t="shared" si="7"/>
        <v>63694803.20238772</v>
      </c>
      <c r="Z13" s="33">
        <f t="shared" si="8"/>
        <v>10.208696058229703</v>
      </c>
      <c r="AA13" s="5">
        <v>36600000</v>
      </c>
      <c r="AB13" s="5" t="s">
        <v>102</v>
      </c>
      <c r="AC13" s="11"/>
      <c r="AD13" s="11"/>
      <c r="AE13" s="11"/>
    </row>
    <row r="14" spans="1:31" x14ac:dyDescent="0.25">
      <c r="A14" s="11">
        <f t="shared" si="9"/>
        <v>7</v>
      </c>
      <c r="B14" s="3" t="s">
        <v>76</v>
      </c>
      <c r="C14" s="5">
        <v>61000</v>
      </c>
      <c r="D14" s="5">
        <f t="shared" si="0"/>
        <v>5507692.307692308</v>
      </c>
      <c r="E14" s="6">
        <v>115000</v>
      </c>
      <c r="F14" s="5" t="str">
        <f>AB14</f>
        <v>*</v>
      </c>
      <c r="G14" s="6">
        <v>1900</v>
      </c>
      <c r="H14" s="13">
        <f t="shared" si="1"/>
        <v>5685592.307692308</v>
      </c>
      <c r="I14" s="94">
        <f t="shared" si="10"/>
        <v>29549.76136237257</v>
      </c>
      <c r="J14" s="94">
        <f t="shared" si="11"/>
        <v>44915.637270806306</v>
      </c>
      <c r="K14" s="94">
        <f t="shared" si="12"/>
        <v>62645.494088229854</v>
      </c>
      <c r="L14" s="94">
        <f t="shared" si="13"/>
        <v>863.76225520781361</v>
      </c>
      <c r="M14" s="94">
        <f t="shared" si="14"/>
        <v>1204.7210401582665</v>
      </c>
      <c r="N14" s="94">
        <f t="shared" si="15"/>
        <v>55.332446346710746</v>
      </c>
      <c r="O14" s="96">
        <f t="shared" si="2"/>
        <v>13.279787123210578</v>
      </c>
      <c r="P14" s="97">
        <f t="shared" si="3"/>
        <v>2.2947067431586029E-2</v>
      </c>
      <c r="Q14" s="94">
        <f t="shared" si="16"/>
        <v>55.914893150360328</v>
      </c>
      <c r="R14" s="94">
        <f t="shared" si="17"/>
        <v>45.792369390381303</v>
      </c>
      <c r="S14" s="11"/>
      <c r="T14" s="13">
        <f>C14*$F$122</f>
        <v>8591390.860215053</v>
      </c>
      <c r="U14" s="13">
        <f t="shared" si="4"/>
        <v>22030769.230769232</v>
      </c>
      <c r="V14" s="13">
        <f t="shared" si="5"/>
        <v>575000</v>
      </c>
      <c r="W14" s="13">
        <v>0</v>
      </c>
      <c r="X14" s="13">
        <f t="shared" si="6"/>
        <v>1471240.9638554219</v>
      </c>
      <c r="Y14" s="13">
        <f t="shared" si="7"/>
        <v>32668401.054839708</v>
      </c>
      <c r="Z14" s="33">
        <f t="shared" si="8"/>
        <v>5.7458219455237893</v>
      </c>
      <c r="AA14" s="5">
        <v>35800000</v>
      </c>
      <c r="AB14" s="5" t="s">
        <v>102</v>
      </c>
      <c r="AC14" s="11"/>
      <c r="AD14" s="11"/>
      <c r="AE14" s="11"/>
    </row>
    <row r="15" spans="1:31" x14ac:dyDescent="0.25">
      <c r="A15" s="11">
        <f t="shared" si="9"/>
        <v>8</v>
      </c>
      <c r="B15" s="3" t="s">
        <v>7</v>
      </c>
      <c r="C15" s="5" t="s">
        <v>112</v>
      </c>
      <c r="D15" s="5">
        <f t="shared" si="0"/>
        <v>5061538.461538462</v>
      </c>
      <c r="E15" s="6" t="s">
        <v>102</v>
      </c>
      <c r="F15" s="5" t="str">
        <f>AB15</f>
        <v>*</v>
      </c>
      <c r="G15" s="6">
        <v>800</v>
      </c>
      <c r="H15" s="13">
        <f t="shared" si="1"/>
        <v>5062338.461538462</v>
      </c>
      <c r="I15" s="94">
        <f t="shared" si="10"/>
        <v>11007.44607970343</v>
      </c>
      <c r="J15" s="94">
        <f t="shared" si="11"/>
        <v>16731.318041149214</v>
      </c>
      <c r="K15" s="94">
        <f t="shared" si="12"/>
        <v>23335.785688971271</v>
      </c>
      <c r="L15" s="94">
        <f t="shared" si="13"/>
        <v>321.75611617594643</v>
      </c>
      <c r="M15" s="94">
        <f t="shared" si="14"/>
        <v>448.76510940329365</v>
      </c>
      <c r="N15" s="94">
        <f t="shared" si="15"/>
        <v>20.611635814936371</v>
      </c>
      <c r="O15" s="96">
        <f t="shared" si="2"/>
        <v>4.9467925955847285</v>
      </c>
      <c r="P15" s="97">
        <f t="shared" si="3"/>
        <v>8.5479068457770223E-3</v>
      </c>
      <c r="Q15" s="94">
        <f t="shared" si="16"/>
        <v>20.828600402462015</v>
      </c>
      <c r="R15" s="94">
        <f t="shared" si="17"/>
        <v>17.057905502016304</v>
      </c>
      <c r="S15" s="11"/>
      <c r="T15" s="13">
        <v>0</v>
      </c>
      <c r="U15" s="13">
        <f t="shared" si="4"/>
        <v>20246153.846153848</v>
      </c>
      <c r="V15" s="13">
        <v>0</v>
      </c>
      <c r="W15" s="13">
        <v>0</v>
      </c>
      <c r="X15" s="13">
        <f t="shared" si="6"/>
        <v>619469.87951807235</v>
      </c>
      <c r="Y15" s="13">
        <f t="shared" si="7"/>
        <v>20865623.725671921</v>
      </c>
      <c r="Z15" s="33">
        <f t="shared" si="8"/>
        <v>4.1217362063402589</v>
      </c>
      <c r="AA15" s="5">
        <v>32900000</v>
      </c>
      <c r="AB15" s="5" t="s">
        <v>102</v>
      </c>
      <c r="AC15" s="11"/>
      <c r="AD15" s="11"/>
      <c r="AE15" s="11"/>
    </row>
    <row r="16" spans="1:31" x14ac:dyDescent="0.25">
      <c r="A16" s="11">
        <f t="shared" si="9"/>
        <v>9</v>
      </c>
      <c r="B16" s="3" t="s">
        <v>1</v>
      </c>
      <c r="C16" s="5" t="s">
        <v>112</v>
      </c>
      <c r="D16" s="5">
        <f t="shared" si="0"/>
        <v>4892307.692307692</v>
      </c>
      <c r="E16" s="6">
        <v>920000</v>
      </c>
      <c r="F16" s="5" t="str">
        <f>AB16</f>
        <v>*</v>
      </c>
      <c r="G16" s="6">
        <v>24000</v>
      </c>
      <c r="H16" s="13">
        <f t="shared" si="1"/>
        <v>5836307.692307692</v>
      </c>
      <c r="I16" s="94">
        <f t="shared" si="10"/>
        <v>56279.690083410562</v>
      </c>
      <c r="J16" s="94">
        <f t="shared" si="11"/>
        <v>85545.128926784062</v>
      </c>
      <c r="K16" s="94">
        <f t="shared" si="12"/>
        <v>119312.9429768304</v>
      </c>
      <c r="L16" s="94">
        <f t="shared" si="13"/>
        <v>1645.0986332073858</v>
      </c>
      <c r="M16" s="94">
        <f t="shared" si="14"/>
        <v>2294.4796726313539</v>
      </c>
      <c r="N16" s="94">
        <f t="shared" si="15"/>
        <v>105.38470662288255</v>
      </c>
      <c r="O16" s="96">
        <f t="shared" si="2"/>
        <v>25.292329589491811</v>
      </c>
      <c r="P16" s="97">
        <f t="shared" si="3"/>
        <v>4.3704374716787696E-2</v>
      </c>
      <c r="Q16" s="94">
        <f t="shared" si="16"/>
        <v>106.49401932417605</v>
      </c>
      <c r="R16" s="94">
        <f t="shared" si="17"/>
        <v>87.214929618937276</v>
      </c>
      <c r="S16" s="11"/>
      <c r="T16" s="13">
        <v>0</v>
      </c>
      <c r="U16" s="13">
        <f t="shared" si="4"/>
        <v>19569230.769230768</v>
      </c>
      <c r="V16" s="13">
        <f>E16*$C$130</f>
        <v>4600000</v>
      </c>
      <c r="W16" s="13">
        <v>0</v>
      </c>
      <c r="X16" s="13">
        <f t="shared" si="6"/>
        <v>18584096.385542169</v>
      </c>
      <c r="Y16" s="13">
        <f t="shared" si="7"/>
        <v>42753327.154772937</v>
      </c>
      <c r="Z16" s="33">
        <f t="shared" si="8"/>
        <v>7.3254066455615803</v>
      </c>
      <c r="AA16" s="5">
        <v>31800000</v>
      </c>
      <c r="AB16" s="5" t="s">
        <v>102</v>
      </c>
      <c r="AC16" s="11"/>
      <c r="AD16" s="11"/>
      <c r="AE16" s="11"/>
    </row>
    <row r="17" spans="1:31" x14ac:dyDescent="0.25">
      <c r="A17" s="11">
        <f t="shared" si="9"/>
        <v>10</v>
      </c>
      <c r="B17" s="3" t="s">
        <v>3</v>
      </c>
      <c r="C17" s="5">
        <v>52000</v>
      </c>
      <c r="D17" s="5">
        <f t="shared" si="0"/>
        <v>4492307.692307692</v>
      </c>
      <c r="E17" s="6">
        <v>315000</v>
      </c>
      <c r="F17" s="5">
        <f>AB17/$C$138</f>
        <v>353846.15384615387</v>
      </c>
      <c r="G17" s="6">
        <v>11200</v>
      </c>
      <c r="H17" s="13">
        <f t="shared" si="1"/>
        <v>5224353.846153846</v>
      </c>
      <c r="I17" s="94">
        <f t="shared" si="10"/>
        <v>45567.898962001855</v>
      </c>
      <c r="J17" s="94">
        <f t="shared" si="11"/>
        <v>69263.206422242816</v>
      </c>
      <c r="K17" s="94">
        <f t="shared" si="12"/>
        <v>96603.945799443944</v>
      </c>
      <c r="L17" s="94">
        <f t="shared" si="13"/>
        <v>1331.9847388892849</v>
      </c>
      <c r="M17" s="94">
        <f t="shared" si="14"/>
        <v>1857.7681884508452</v>
      </c>
      <c r="N17" s="94">
        <f t="shared" si="15"/>
        <v>85.326689902068978</v>
      </c>
      <c r="O17" s="96">
        <f t="shared" si="2"/>
        <v>20.478405576496556</v>
      </c>
      <c r="P17" s="97">
        <f t="shared" si="3"/>
        <v>3.538606073239705E-2</v>
      </c>
      <c r="Q17" s="94">
        <f t="shared" si="16"/>
        <v>86.224865585248665</v>
      </c>
      <c r="R17" s="94">
        <f t="shared" si="17"/>
        <v>70.615191643091578</v>
      </c>
      <c r="S17" s="11"/>
      <c r="T17" s="13">
        <f>C17*$F$122</f>
        <v>7323808.602150538</v>
      </c>
      <c r="U17" s="13">
        <f t="shared" si="4"/>
        <v>17969230.769230768</v>
      </c>
      <c r="V17" s="13">
        <f>E17*$C$130</f>
        <v>1575000</v>
      </c>
      <c r="W17" s="13">
        <f>AB17*$C$135/$C$138</f>
        <v>7961538.461538462</v>
      </c>
      <c r="X17" s="13">
        <f t="shared" si="6"/>
        <v>8672578.3132530134</v>
      </c>
      <c r="Y17" s="13">
        <f t="shared" si="7"/>
        <v>43502156.146172784</v>
      </c>
      <c r="Z17" s="33">
        <f t="shared" si="8"/>
        <v>8.326801251833075</v>
      </c>
      <c r="AA17" s="5">
        <v>29200000</v>
      </c>
      <c r="AB17" s="5">
        <v>1150000</v>
      </c>
      <c r="AC17" s="11"/>
      <c r="AD17" s="11"/>
      <c r="AE17" s="11"/>
    </row>
    <row r="18" spans="1:31" x14ac:dyDescent="0.25">
      <c r="A18" s="11">
        <f t="shared" si="9"/>
        <v>11</v>
      </c>
      <c r="B18" s="3" t="s">
        <v>85</v>
      </c>
      <c r="C18" s="5" t="s">
        <v>112</v>
      </c>
      <c r="D18" s="5">
        <f t="shared" si="0"/>
        <v>4261538.461538462</v>
      </c>
      <c r="E18" s="6">
        <v>675000</v>
      </c>
      <c r="F18" s="5" t="str">
        <f>AB18</f>
        <v>*</v>
      </c>
      <c r="G18" s="6">
        <v>23000</v>
      </c>
      <c r="H18" s="13">
        <f t="shared" si="1"/>
        <v>4959538.461538462</v>
      </c>
      <c r="I18" s="94">
        <f t="shared" si="10"/>
        <v>48596.190176088974</v>
      </c>
      <c r="J18" s="94">
        <f t="shared" si="11"/>
        <v>73866.209067655247</v>
      </c>
      <c r="K18" s="94">
        <f t="shared" si="12"/>
        <v>103023.92317330863</v>
      </c>
      <c r="L18" s="94">
        <f t="shared" si="13"/>
        <v>1420.5040205318317</v>
      </c>
      <c r="M18" s="94">
        <f t="shared" si="14"/>
        <v>1981.2292917943969</v>
      </c>
      <c r="N18" s="94">
        <f t="shared" si="15"/>
        <v>90.997218305694545</v>
      </c>
      <c r="O18" s="96">
        <f t="shared" si="2"/>
        <v>21.839332393366693</v>
      </c>
      <c r="P18" s="97">
        <f t="shared" si="3"/>
        <v>3.7737700796083753E-2</v>
      </c>
      <c r="Q18" s="94">
        <f t="shared" si="16"/>
        <v>91.95508376154396</v>
      </c>
      <c r="R18" s="94">
        <f t="shared" si="17"/>
        <v>75.308042735747208</v>
      </c>
      <c r="S18" s="11"/>
      <c r="T18" s="13">
        <v>0</v>
      </c>
      <c r="U18" s="13">
        <f t="shared" si="4"/>
        <v>17046153.846153848</v>
      </c>
      <c r="V18" s="13">
        <f>E18*$C$130</f>
        <v>3375000</v>
      </c>
      <c r="W18" s="13">
        <v>0</v>
      </c>
      <c r="X18" s="13">
        <f t="shared" si="6"/>
        <v>17809759.036144581</v>
      </c>
      <c r="Y18" s="13">
        <f t="shared" si="7"/>
        <v>38230912.882298425</v>
      </c>
      <c r="Z18" s="33">
        <f t="shared" si="8"/>
        <v>7.7085626371852136</v>
      </c>
      <c r="AA18" s="5">
        <v>27700000</v>
      </c>
      <c r="AB18" s="5" t="s">
        <v>102</v>
      </c>
      <c r="AC18" s="11"/>
      <c r="AD18" s="11"/>
      <c r="AE18" s="11"/>
    </row>
    <row r="19" spans="1:31" x14ac:dyDescent="0.25">
      <c r="A19" s="11">
        <f t="shared" si="9"/>
        <v>12</v>
      </c>
      <c r="B19" s="3" t="s">
        <v>62</v>
      </c>
      <c r="C19" s="5" t="s">
        <v>112</v>
      </c>
      <c r="D19" s="5">
        <f t="shared" si="0"/>
        <v>4092307.6923076925</v>
      </c>
      <c r="E19" s="6">
        <v>32000</v>
      </c>
      <c r="F19" s="5" t="str">
        <f>AB19</f>
        <v>*</v>
      </c>
      <c r="G19" s="6">
        <v>11600</v>
      </c>
      <c r="H19" s="13">
        <f t="shared" si="1"/>
        <v>4135907.6923076925</v>
      </c>
      <c r="I19" s="94">
        <f t="shared" si="10"/>
        <v>21702.368155699725</v>
      </c>
      <c r="J19" s="94">
        <f t="shared" si="11"/>
        <v>32987.599596663582</v>
      </c>
      <c r="K19" s="94">
        <f t="shared" si="12"/>
        <v>46009.020490083421</v>
      </c>
      <c r="L19" s="94">
        <f t="shared" si="13"/>
        <v>634.37691532045346</v>
      </c>
      <c r="M19" s="94">
        <f t="shared" si="14"/>
        <v>884.78885557852732</v>
      </c>
      <c r="N19" s="94">
        <f t="shared" si="15"/>
        <v>40.638064952393307</v>
      </c>
      <c r="O19" s="96">
        <f t="shared" si="2"/>
        <v>9.7531355885743931</v>
      </c>
      <c r="P19" s="97">
        <f t="shared" si="3"/>
        <v>1.6853121058638617E-2</v>
      </c>
      <c r="Q19" s="94">
        <f t="shared" si="16"/>
        <v>41.065834057155342</v>
      </c>
      <c r="R19" s="94">
        <f t="shared" si="17"/>
        <v>33.631502029566875</v>
      </c>
      <c r="S19" s="11"/>
      <c r="T19" s="13">
        <v>0</v>
      </c>
      <c r="U19" s="13">
        <f t="shared" si="4"/>
        <v>16369230.76923077</v>
      </c>
      <c r="V19" s="13">
        <f>E19*$C$130</f>
        <v>160000</v>
      </c>
      <c r="W19" s="13">
        <v>0</v>
      </c>
      <c r="X19" s="13">
        <f t="shared" si="6"/>
        <v>8982313.2530120481</v>
      </c>
      <c r="Y19" s="13">
        <f t="shared" si="7"/>
        <v>25511544.022242818</v>
      </c>
      <c r="Z19" s="33">
        <f t="shared" si="8"/>
        <v>6.1683059488226304</v>
      </c>
      <c r="AA19" s="5">
        <v>26600000</v>
      </c>
      <c r="AB19" s="5" t="s">
        <v>102</v>
      </c>
      <c r="AC19" s="11"/>
      <c r="AD19" s="11"/>
      <c r="AE19" s="11"/>
    </row>
    <row r="20" spans="1:31" x14ac:dyDescent="0.25">
      <c r="A20" s="11">
        <f t="shared" si="9"/>
        <v>13</v>
      </c>
      <c r="B20" s="3" t="s">
        <v>42</v>
      </c>
      <c r="C20" s="5">
        <v>70000</v>
      </c>
      <c r="D20" s="5">
        <f t="shared" si="0"/>
        <v>3876923.076923077</v>
      </c>
      <c r="E20" s="6">
        <v>1600</v>
      </c>
      <c r="F20" s="5" t="str">
        <f>AB20</f>
        <v>(D)</v>
      </c>
      <c r="G20" s="6">
        <v>7100</v>
      </c>
      <c r="H20" s="13">
        <f t="shared" si="1"/>
        <v>3955623.076923077</v>
      </c>
      <c r="I20" s="94">
        <f t="shared" si="10"/>
        <v>31632.342418906399</v>
      </c>
      <c r="J20" s="94">
        <f t="shared" si="11"/>
        <v>48081.160476737728</v>
      </c>
      <c r="K20" s="94">
        <f t="shared" si="12"/>
        <v>67060.565928081574</v>
      </c>
      <c r="L20" s="94">
        <f t="shared" si="13"/>
        <v>924.63770147572552</v>
      </c>
      <c r="M20" s="94">
        <f t="shared" si="14"/>
        <v>1289.6262678477226</v>
      </c>
      <c r="N20" s="94">
        <f t="shared" si="15"/>
        <v>59.232115895990717</v>
      </c>
      <c r="O20" s="96">
        <f t="shared" si="2"/>
        <v>14.215707815037771</v>
      </c>
      <c r="P20" s="97">
        <f t="shared" si="3"/>
        <v>2.4564309863766145E-2</v>
      </c>
      <c r="Q20" s="94">
        <f t="shared" si="16"/>
        <v>59.855611852790616</v>
      </c>
      <c r="R20" s="94">
        <f t="shared" si="17"/>
        <v>49.019682120819901</v>
      </c>
      <c r="S20" s="11"/>
      <c r="T20" s="13">
        <f t="shared" ref="T20:T25" si="18">C20*$F$122</f>
        <v>9858973.1182795707</v>
      </c>
      <c r="U20" s="13">
        <f t="shared" si="4"/>
        <v>15507692.307692308</v>
      </c>
      <c r="V20" s="13">
        <f>E20*$C$130</f>
        <v>8000</v>
      </c>
      <c r="W20" s="13">
        <v>0</v>
      </c>
      <c r="X20" s="13">
        <f t="shared" si="6"/>
        <v>5497795.1807228923</v>
      </c>
      <c r="Y20" s="13">
        <f t="shared" si="7"/>
        <v>30872460.606694773</v>
      </c>
      <c r="Z20" s="33">
        <f t="shared" si="8"/>
        <v>7.8047023203002546</v>
      </c>
      <c r="AA20" s="5">
        <v>25200000</v>
      </c>
      <c r="AB20" s="5" t="s">
        <v>103</v>
      </c>
      <c r="AC20" s="11"/>
      <c r="AD20" s="11"/>
      <c r="AE20" s="11"/>
    </row>
    <row r="21" spans="1:31" x14ac:dyDescent="0.25">
      <c r="A21" s="11">
        <f t="shared" si="9"/>
        <v>14</v>
      </c>
      <c r="B21" s="3" t="s">
        <v>61</v>
      </c>
      <c r="C21" s="5">
        <v>18000</v>
      </c>
      <c r="D21" s="5">
        <f t="shared" si="0"/>
        <v>3738461.5384615385</v>
      </c>
      <c r="E21" s="6" t="s">
        <v>103</v>
      </c>
      <c r="F21" s="5" t="str">
        <f>AB21</f>
        <v>*</v>
      </c>
      <c r="G21" s="6">
        <v>5200</v>
      </c>
      <c r="H21" s="13">
        <f t="shared" si="1"/>
        <v>3761661.5384615385</v>
      </c>
      <c r="I21" s="94">
        <f t="shared" si="10"/>
        <v>17338.322594995367</v>
      </c>
      <c r="J21" s="94">
        <f t="shared" si="11"/>
        <v>26354.250344392956</v>
      </c>
      <c r="K21" s="94">
        <f t="shared" si="12"/>
        <v>36757.243901390182</v>
      </c>
      <c r="L21" s="94">
        <f t="shared" si="13"/>
        <v>506.81250662294144</v>
      </c>
      <c r="M21" s="94">
        <f t="shared" si="14"/>
        <v>706.8700750267343</v>
      </c>
      <c r="N21" s="94">
        <f t="shared" si="15"/>
        <v>32.46631311043911</v>
      </c>
      <c r="O21" s="96">
        <f t="shared" si="2"/>
        <v>7.7919151465053869</v>
      </c>
      <c r="P21" s="97">
        <f t="shared" si="3"/>
        <v>1.3464191905271129E-2</v>
      </c>
      <c r="Q21" s="94">
        <f t="shared" si="16"/>
        <v>32.808063774759525</v>
      </c>
      <c r="R21" s="94">
        <f t="shared" si="17"/>
        <v>26.868672918984092</v>
      </c>
      <c r="S21" s="11"/>
      <c r="T21" s="13">
        <f t="shared" si="18"/>
        <v>2535164.5161290322</v>
      </c>
      <c r="U21" s="13">
        <f t="shared" si="4"/>
        <v>14953846.153846154</v>
      </c>
      <c r="V21" s="13">
        <v>0</v>
      </c>
      <c r="W21" s="13">
        <v>0</v>
      </c>
      <c r="X21" s="13">
        <f t="shared" si="6"/>
        <v>4026554.2168674702</v>
      </c>
      <c r="Y21" s="13">
        <f t="shared" si="7"/>
        <v>21515564.886842657</v>
      </c>
      <c r="Z21" s="33">
        <f t="shared" si="8"/>
        <v>5.7196971781895591</v>
      </c>
      <c r="AA21" s="5">
        <v>24300000</v>
      </c>
      <c r="AB21" s="5" t="s">
        <v>102</v>
      </c>
      <c r="AC21" s="11"/>
      <c r="AD21" s="11"/>
      <c r="AE21" s="11"/>
    </row>
    <row r="22" spans="1:31" x14ac:dyDescent="0.25">
      <c r="A22" s="11">
        <f t="shared" si="9"/>
        <v>15</v>
      </c>
      <c r="B22" s="3" t="s">
        <v>22</v>
      </c>
      <c r="C22" s="5">
        <v>200</v>
      </c>
      <c r="D22" s="5">
        <f t="shared" si="0"/>
        <v>3476923.076923077</v>
      </c>
      <c r="E22" s="6" t="s">
        <v>103</v>
      </c>
      <c r="F22" s="5">
        <f>AB22/$C$138</f>
        <v>121538.46153846153</v>
      </c>
      <c r="G22" s="6">
        <v>20000</v>
      </c>
      <c r="H22" s="13">
        <f t="shared" si="1"/>
        <v>3618661.5384615385</v>
      </c>
      <c r="I22" s="94">
        <f t="shared" si="10"/>
        <v>30992.62122335496</v>
      </c>
      <c r="J22" s="94">
        <f t="shared" si="11"/>
        <v>47108.784259499538</v>
      </c>
      <c r="K22" s="94">
        <f t="shared" si="12"/>
        <v>65704.356993512512</v>
      </c>
      <c r="L22" s="94">
        <f t="shared" si="13"/>
        <v>905.93815883652962</v>
      </c>
      <c r="M22" s="94">
        <f t="shared" si="14"/>
        <v>1263.5453267983175</v>
      </c>
      <c r="N22" s="94">
        <f t="shared" si="15"/>
        <v>58.034226738930471</v>
      </c>
      <c r="O22" s="96">
        <f t="shared" si="2"/>
        <v>13.928214417343312</v>
      </c>
      <c r="P22" s="97">
        <f t="shared" si="3"/>
        <v>2.4067530034253666E-2</v>
      </c>
      <c r="Q22" s="94">
        <f t="shared" si="16"/>
        <v>58.645113336182369</v>
      </c>
      <c r="R22" s="94">
        <f t="shared" si="17"/>
        <v>48.028325577045905</v>
      </c>
      <c r="S22" s="11"/>
      <c r="T22" s="13">
        <f t="shared" si="18"/>
        <v>28168.494623655915</v>
      </c>
      <c r="U22" s="13">
        <f t="shared" si="4"/>
        <v>13907692.307692308</v>
      </c>
      <c r="V22" s="13">
        <v>0</v>
      </c>
      <c r="W22" s="13">
        <f>AB22*$C$135/$C$138</f>
        <v>2734615.3846153845</v>
      </c>
      <c r="X22" s="13">
        <f t="shared" si="6"/>
        <v>15486746.987951808</v>
      </c>
      <c r="Y22" s="13">
        <f t="shared" si="7"/>
        <v>32157223.174883157</v>
      </c>
      <c r="Z22" s="33">
        <f t="shared" si="8"/>
        <v>8.8864965217373406</v>
      </c>
      <c r="AA22" s="5">
        <v>22600000</v>
      </c>
      <c r="AB22" s="5">
        <v>395000</v>
      </c>
      <c r="AC22" s="11"/>
      <c r="AD22" s="11"/>
      <c r="AE22" s="11"/>
    </row>
    <row r="23" spans="1:31" x14ac:dyDescent="0.25">
      <c r="A23" s="11">
        <f t="shared" si="9"/>
        <v>16</v>
      </c>
      <c r="B23" s="3" t="s">
        <v>18</v>
      </c>
      <c r="C23" s="5">
        <v>5000</v>
      </c>
      <c r="D23" s="5">
        <f t="shared" si="0"/>
        <v>3061538.4615384615</v>
      </c>
      <c r="E23" s="6">
        <v>310000</v>
      </c>
      <c r="F23" s="5" t="str">
        <f>AB23</f>
        <v>*</v>
      </c>
      <c r="G23" s="6">
        <v>38500</v>
      </c>
      <c r="H23" s="13">
        <f t="shared" si="1"/>
        <v>3415038.4615384615</v>
      </c>
      <c r="I23" s="94">
        <f t="shared" si="10"/>
        <v>56552.842585727529</v>
      </c>
      <c r="J23" s="94">
        <f t="shared" si="11"/>
        <v>85960.320730305844</v>
      </c>
      <c r="K23" s="94">
        <f t="shared" si="12"/>
        <v>119892.02628174236</v>
      </c>
      <c r="L23" s="94">
        <f t="shared" si="13"/>
        <v>1653.08309096742</v>
      </c>
      <c r="M23" s="94">
        <f t="shared" si="14"/>
        <v>2305.6158900335072</v>
      </c>
      <c r="N23" s="94">
        <f t="shared" si="15"/>
        <v>105.89618947357552</v>
      </c>
      <c r="O23" s="96">
        <f t="shared" si="2"/>
        <v>25.415085473658124</v>
      </c>
      <c r="P23" s="97">
        <f t="shared" si="3"/>
        <v>4.3916493143495376E-2</v>
      </c>
      <c r="Q23" s="94">
        <f t="shared" si="16"/>
        <v>107.01088620487631</v>
      </c>
      <c r="R23" s="94">
        <f t="shared" si="17"/>
        <v>87.638225771234914</v>
      </c>
      <c r="S23" s="11"/>
      <c r="T23" s="13">
        <f t="shared" si="18"/>
        <v>704212.36559139786</v>
      </c>
      <c r="U23" s="13">
        <f t="shared" si="4"/>
        <v>12246153.846153846</v>
      </c>
      <c r="V23" s="13">
        <f>E23*$C$130</f>
        <v>1550000</v>
      </c>
      <c r="W23" s="13">
        <v>0</v>
      </c>
      <c r="X23" s="13">
        <f t="shared" si="6"/>
        <v>29811987.951807231</v>
      </c>
      <c r="Y23" s="13">
        <f t="shared" si="7"/>
        <v>44312354.163552478</v>
      </c>
      <c r="Z23" s="33">
        <f t="shared" si="8"/>
        <v>12.975653030739201</v>
      </c>
      <c r="AA23" s="5">
        <v>19900000</v>
      </c>
      <c r="AB23" s="5" t="s">
        <v>102</v>
      </c>
      <c r="AC23" s="11"/>
      <c r="AD23" s="11"/>
      <c r="AE23" s="11"/>
    </row>
    <row r="24" spans="1:31" x14ac:dyDescent="0.25">
      <c r="A24" s="11">
        <f t="shared" si="9"/>
        <v>17</v>
      </c>
      <c r="B24" s="3" t="s">
        <v>95</v>
      </c>
      <c r="C24" s="5">
        <v>515000</v>
      </c>
      <c r="D24" s="5">
        <f t="shared" si="0"/>
        <v>2276923.076923077</v>
      </c>
      <c r="E24" s="6">
        <v>96000</v>
      </c>
      <c r="F24" s="5">
        <f>AB24/$C$138</f>
        <v>1261538.4615384615</v>
      </c>
      <c r="G24" s="6">
        <v>8600</v>
      </c>
      <c r="H24" s="13">
        <f t="shared" si="1"/>
        <v>4158061.5384615385</v>
      </c>
      <c r="I24" s="94">
        <f t="shared" si="10"/>
        <v>153375.36074142723</v>
      </c>
      <c r="J24" s="94">
        <f t="shared" si="11"/>
        <v>233130.54832696938</v>
      </c>
      <c r="K24" s="94">
        <f t="shared" si="12"/>
        <v>325155.76477182575</v>
      </c>
      <c r="L24" s="94">
        <f t="shared" si="13"/>
        <v>4483.2797755186421</v>
      </c>
      <c r="M24" s="94">
        <f t="shared" si="14"/>
        <v>6252.9954763812648</v>
      </c>
      <c r="N24" s="94">
        <f t="shared" si="15"/>
        <v>287.19805263601728</v>
      </c>
      <c r="O24" s="96">
        <f t="shared" si="2"/>
        <v>68.927532632644144</v>
      </c>
      <c r="P24" s="97">
        <f t="shared" si="3"/>
        <v>0.11910467574059552</v>
      </c>
      <c r="Q24" s="94">
        <f t="shared" si="16"/>
        <v>290.22119003218592</v>
      </c>
      <c r="R24" s="94">
        <f t="shared" si="17"/>
        <v>237.68114700911775</v>
      </c>
      <c r="S24" s="11"/>
      <c r="T24" s="13">
        <f t="shared" si="18"/>
        <v>72533873.655913979</v>
      </c>
      <c r="U24" s="13">
        <f t="shared" si="4"/>
        <v>9107692.307692308</v>
      </c>
      <c r="V24" s="13">
        <f>E24*$C$130</f>
        <v>480000</v>
      </c>
      <c r="W24" s="13">
        <f>AB24*$C$135/$C$138</f>
        <v>28384615.384615384</v>
      </c>
      <c r="X24" s="13">
        <f t="shared" si="6"/>
        <v>6659301.2048192779</v>
      </c>
      <c r="Y24" s="13">
        <f t="shared" si="7"/>
        <v>117165482.55304094</v>
      </c>
      <c r="Z24" s="33">
        <f t="shared" si="8"/>
        <v>28.177909698852499</v>
      </c>
      <c r="AA24" s="5">
        <v>14800000</v>
      </c>
      <c r="AB24" s="5">
        <v>4100000</v>
      </c>
      <c r="AC24" s="11"/>
      <c r="AD24" s="11"/>
      <c r="AE24" s="11"/>
    </row>
    <row r="25" spans="1:31" x14ac:dyDescent="0.25">
      <c r="A25" s="11">
        <f t="shared" si="9"/>
        <v>18</v>
      </c>
      <c r="B25" s="3" t="s">
        <v>8</v>
      </c>
      <c r="C25" s="5">
        <v>720000</v>
      </c>
      <c r="D25" s="5">
        <f t="shared" si="0"/>
        <v>1738461.5384615385</v>
      </c>
      <c r="E25" s="6" t="s">
        <v>103</v>
      </c>
      <c r="F25" s="5">
        <f>AB25/$C$138</f>
        <v>630769.23076923075</v>
      </c>
      <c r="G25" s="6">
        <v>3100</v>
      </c>
      <c r="H25" s="13">
        <f t="shared" si="1"/>
        <v>3092330.769230769</v>
      </c>
      <c r="I25" s="94">
        <f t="shared" si="10"/>
        <v>181200.77663577383</v>
      </c>
      <c r="J25" s="94">
        <f t="shared" si="11"/>
        <v>275425.18048637622</v>
      </c>
      <c r="K25" s="94">
        <f t="shared" si="12"/>
        <v>384145.64646784053</v>
      </c>
      <c r="L25" s="94">
        <f t="shared" si="13"/>
        <v>5296.6380862764654</v>
      </c>
      <c r="M25" s="94">
        <f t="shared" si="14"/>
        <v>7387.4162782277026</v>
      </c>
      <c r="N25" s="94">
        <f t="shared" si="15"/>
        <v>339.30163185508223</v>
      </c>
      <c r="O25" s="96">
        <f t="shared" si="2"/>
        <v>81.432391645219738</v>
      </c>
      <c r="P25" s="97">
        <f t="shared" si="3"/>
        <v>0.140712691013861</v>
      </c>
      <c r="Q25" s="94">
        <f t="shared" si="16"/>
        <v>342.87322797987258</v>
      </c>
      <c r="R25" s="94">
        <f t="shared" si="17"/>
        <v>280.80135050075774</v>
      </c>
      <c r="S25" s="11"/>
      <c r="T25" s="13">
        <f t="shared" si="18"/>
        <v>101406580.64516129</v>
      </c>
      <c r="U25" s="13">
        <f t="shared" si="4"/>
        <v>6953846.153846154</v>
      </c>
      <c r="V25" s="13">
        <v>0</v>
      </c>
      <c r="W25" s="13">
        <f>AB25*$C$135/$C$138</f>
        <v>14192307.692307692</v>
      </c>
      <c r="X25" s="13">
        <f t="shared" si="6"/>
        <v>2400445.7831325303</v>
      </c>
      <c r="Y25" s="13">
        <f t="shared" si="7"/>
        <v>124953180.27444766</v>
      </c>
      <c r="Z25" s="33">
        <f t="shared" si="8"/>
        <v>40.407443316786683</v>
      </c>
      <c r="AA25" s="5">
        <v>11300000</v>
      </c>
      <c r="AB25" s="5">
        <v>2050000</v>
      </c>
      <c r="AC25" s="11"/>
      <c r="AD25" s="11"/>
      <c r="AE25" s="11"/>
    </row>
    <row r="26" spans="1:31" x14ac:dyDescent="0.25">
      <c r="A26" s="11">
        <f t="shared" si="9"/>
        <v>19</v>
      </c>
      <c r="B26" s="3" t="s">
        <v>82</v>
      </c>
      <c r="C26" s="5" t="s">
        <v>112</v>
      </c>
      <c r="D26" s="5">
        <f t="shared" si="0"/>
        <v>1953846.1538461538</v>
      </c>
      <c r="E26" s="6" t="s">
        <v>102</v>
      </c>
      <c r="F26" s="5" t="str">
        <f t="shared" ref="F26:F31" si="19">AB26</f>
        <v>*</v>
      </c>
      <c r="G26" s="6">
        <v>1300</v>
      </c>
      <c r="H26" s="13">
        <f t="shared" si="1"/>
        <v>1955146.1538461538</v>
      </c>
      <c r="I26" s="94">
        <f t="shared" si="10"/>
        <v>5344.7921872103798</v>
      </c>
      <c r="J26" s="94">
        <f t="shared" si="11"/>
        <v>8124.0841245597776</v>
      </c>
      <c r="K26" s="94">
        <f t="shared" si="12"/>
        <v>11330.959436886005</v>
      </c>
      <c r="L26" s="94">
        <f t="shared" si="13"/>
        <v>156.23238701076497</v>
      </c>
      <c r="M26" s="94">
        <f t="shared" si="14"/>
        <v>217.90306609396163</v>
      </c>
      <c r="N26" s="94">
        <f t="shared" si="15"/>
        <v>10.008217098826407</v>
      </c>
      <c r="O26" s="96">
        <f t="shared" si="2"/>
        <v>2.4019721037183372</v>
      </c>
      <c r="P26" s="97">
        <f t="shared" si="3"/>
        <v>4.1505345922659359E-3</v>
      </c>
      <c r="Q26" s="94">
        <f t="shared" si="16"/>
        <v>10.113566752498263</v>
      </c>
      <c r="R26" s="94">
        <f t="shared" si="17"/>
        <v>8.2826624266149569</v>
      </c>
      <c r="S26" s="11"/>
      <c r="T26" s="13">
        <v>0</v>
      </c>
      <c r="U26" s="13">
        <f t="shared" si="4"/>
        <v>7815384.615384615</v>
      </c>
      <c r="V26" s="13">
        <v>0</v>
      </c>
      <c r="W26" s="13">
        <v>0</v>
      </c>
      <c r="X26" s="13">
        <f t="shared" si="6"/>
        <v>1006638.5542168675</v>
      </c>
      <c r="Y26" s="13">
        <f t="shared" si="7"/>
        <v>8822023.1696014833</v>
      </c>
      <c r="Z26" s="33">
        <f t="shared" si="8"/>
        <v>4.5122064927201704</v>
      </c>
      <c r="AA26" s="5">
        <v>12700000</v>
      </c>
      <c r="AB26" s="5" t="s">
        <v>102</v>
      </c>
      <c r="AC26" s="11"/>
      <c r="AD26" s="11"/>
      <c r="AE26" s="11"/>
    </row>
    <row r="27" spans="1:31" x14ac:dyDescent="0.25">
      <c r="A27" s="11">
        <f t="shared" si="9"/>
        <v>20</v>
      </c>
      <c r="B27" s="3" t="s">
        <v>63</v>
      </c>
      <c r="C27" s="5">
        <v>55000</v>
      </c>
      <c r="D27" s="5">
        <f t="shared" si="0"/>
        <v>1707692.3076923077</v>
      </c>
      <c r="E27" s="6">
        <v>355000</v>
      </c>
      <c r="F27" s="5" t="str">
        <f t="shared" si="19"/>
        <v>*</v>
      </c>
      <c r="G27" s="6">
        <v>7700</v>
      </c>
      <c r="H27" s="13">
        <f t="shared" si="1"/>
        <v>2125392.307692308</v>
      </c>
      <c r="I27" s="94">
        <f t="shared" si="10"/>
        <v>32198.437747914737</v>
      </c>
      <c r="J27" s="94">
        <f t="shared" si="11"/>
        <v>48941.625376830401</v>
      </c>
      <c r="K27" s="94">
        <f t="shared" si="12"/>
        <v>68260.688025579249</v>
      </c>
      <c r="L27" s="94">
        <f t="shared" si="13"/>
        <v>941.18510340058469</v>
      </c>
      <c r="M27" s="94">
        <f t="shared" si="14"/>
        <v>1312.7055389534471</v>
      </c>
      <c r="N27" s="94">
        <f t="shared" si="15"/>
        <v>60.292139326818258</v>
      </c>
      <c r="O27" s="96">
        <f t="shared" si="2"/>
        <v>14.470113438436382</v>
      </c>
      <c r="P27" s="97">
        <f t="shared" si="3"/>
        <v>2.5003915027684707E-2</v>
      </c>
      <c r="Q27" s="94">
        <f t="shared" si="16"/>
        <v>60.926793424995296</v>
      </c>
      <c r="R27" s="94">
        <f t="shared" si="17"/>
        <v>49.896942891159938</v>
      </c>
      <c r="S27" s="11"/>
      <c r="T27" s="13">
        <f>C27*$F$122</f>
        <v>7746336.0215053763</v>
      </c>
      <c r="U27" s="13">
        <f t="shared" si="4"/>
        <v>6830769.230769231</v>
      </c>
      <c r="V27" s="13">
        <f>E27*$C$130</f>
        <v>1775000</v>
      </c>
      <c r="W27" s="13">
        <v>0</v>
      </c>
      <c r="X27" s="13">
        <f t="shared" si="6"/>
        <v>5962397.5903614461</v>
      </c>
      <c r="Y27" s="13">
        <f t="shared" si="7"/>
        <v>22314502.842636053</v>
      </c>
      <c r="Z27" s="33">
        <f t="shared" si="8"/>
        <v>10.499004236476475</v>
      </c>
      <c r="AA27" s="5">
        <v>11100000</v>
      </c>
      <c r="AB27" s="5" t="s">
        <v>102</v>
      </c>
      <c r="AC27" s="11"/>
      <c r="AD27" s="11"/>
      <c r="AE27" s="11"/>
    </row>
    <row r="28" spans="1:31" x14ac:dyDescent="0.25">
      <c r="A28" s="11">
        <f t="shared" si="9"/>
        <v>21</v>
      </c>
      <c r="B28" s="3" t="s">
        <v>17</v>
      </c>
      <c r="C28" s="5" t="s">
        <v>112</v>
      </c>
      <c r="D28" s="5">
        <f t="shared" si="0"/>
        <v>1738461.5384615385</v>
      </c>
      <c r="E28" s="6">
        <v>80000</v>
      </c>
      <c r="F28" s="5" t="str">
        <f t="shared" si="19"/>
        <v>*</v>
      </c>
      <c r="G28" s="6">
        <v>13300</v>
      </c>
      <c r="H28" s="13">
        <f t="shared" si="1"/>
        <v>1831761.5384615385</v>
      </c>
      <c r="I28" s="94">
        <f t="shared" si="10"/>
        <v>19915.560305838742</v>
      </c>
      <c r="J28" s="94">
        <f t="shared" si="11"/>
        <v>30271.651664874888</v>
      </c>
      <c r="K28" s="94">
        <f t="shared" si="12"/>
        <v>42220.987848378136</v>
      </c>
      <c r="L28" s="94">
        <f t="shared" si="13"/>
        <v>582.14714740144018</v>
      </c>
      <c r="M28" s="94">
        <f t="shared" si="14"/>
        <v>811.9420740072718</v>
      </c>
      <c r="N28" s="94">
        <f t="shared" si="15"/>
        <v>37.292235919397818</v>
      </c>
      <c r="O28" s="96">
        <f t="shared" si="2"/>
        <v>8.950136620655476</v>
      </c>
      <c r="P28" s="97">
        <f t="shared" si="3"/>
        <v>1.5465563314424224E-2</v>
      </c>
      <c r="Q28" s="94">
        <f t="shared" si="16"/>
        <v>37.684785771180955</v>
      </c>
      <c r="R28" s="94">
        <f t="shared" si="17"/>
        <v>30.86254007122578</v>
      </c>
      <c r="S28" s="11"/>
      <c r="T28" s="13">
        <v>0</v>
      </c>
      <c r="U28" s="13">
        <f t="shared" si="4"/>
        <v>6953846.153846154</v>
      </c>
      <c r="V28" s="13">
        <f>E28*$C$130</f>
        <v>400000</v>
      </c>
      <c r="W28" s="13">
        <v>0</v>
      </c>
      <c r="X28" s="13">
        <f t="shared" si="6"/>
        <v>10298686.746987952</v>
      </c>
      <c r="Y28" s="13">
        <f t="shared" si="7"/>
        <v>17652532.900834106</v>
      </c>
      <c r="Z28" s="33">
        <f t="shared" si="8"/>
        <v>9.6369164491029391</v>
      </c>
      <c r="AA28" s="5">
        <v>11300000</v>
      </c>
      <c r="AB28" s="5" t="s">
        <v>102</v>
      </c>
      <c r="AC28" s="11"/>
      <c r="AD28" s="11"/>
      <c r="AE28" s="11"/>
    </row>
    <row r="29" spans="1:31" x14ac:dyDescent="0.25">
      <c r="A29" s="11">
        <f t="shared" si="9"/>
        <v>22</v>
      </c>
      <c r="B29" s="3" t="s">
        <v>71</v>
      </c>
      <c r="C29" s="5" t="s">
        <v>112</v>
      </c>
      <c r="D29" s="5">
        <f t="shared" si="0"/>
        <v>1676923.076923077</v>
      </c>
      <c r="E29" s="6" t="s">
        <v>102</v>
      </c>
      <c r="F29" s="5" t="str">
        <f t="shared" si="19"/>
        <v>*</v>
      </c>
      <c r="G29" s="6">
        <v>700</v>
      </c>
      <c r="H29" s="13">
        <f t="shared" si="1"/>
        <v>1677623.076923077</v>
      </c>
      <c r="I29" s="94">
        <f t="shared" si="10"/>
        <v>4127.6691658943473</v>
      </c>
      <c r="J29" s="94">
        <f t="shared" si="11"/>
        <v>6274.057132159408</v>
      </c>
      <c r="K29" s="94">
        <f t="shared" si="12"/>
        <v>8750.6586316960165</v>
      </c>
      <c r="L29" s="94">
        <f t="shared" si="13"/>
        <v>120.65494484921939</v>
      </c>
      <c r="M29" s="94">
        <f t="shared" si="14"/>
        <v>168.28189676338494</v>
      </c>
      <c r="N29" s="94">
        <f t="shared" si="15"/>
        <v>7.7291328974875793</v>
      </c>
      <c r="O29" s="96">
        <f t="shared" si="2"/>
        <v>1.854991895397019</v>
      </c>
      <c r="P29" s="97">
        <f t="shared" si="3"/>
        <v>3.2053694621597129E-3</v>
      </c>
      <c r="Q29" s="94">
        <f t="shared" si="16"/>
        <v>7.810492191145344</v>
      </c>
      <c r="R29" s="94">
        <f t="shared" si="17"/>
        <v>6.3965237772311001</v>
      </c>
      <c r="S29" s="11"/>
      <c r="T29" s="13">
        <v>0</v>
      </c>
      <c r="U29" s="13">
        <f t="shared" si="4"/>
        <v>6707692.307692308</v>
      </c>
      <c r="V29" s="13">
        <v>0</v>
      </c>
      <c r="W29" s="13">
        <v>0</v>
      </c>
      <c r="X29" s="13">
        <f t="shared" si="6"/>
        <v>542036.14457831334</v>
      </c>
      <c r="Y29" s="13">
        <f t="shared" si="7"/>
        <v>7249728.4522706214</v>
      </c>
      <c r="Z29" s="33">
        <f t="shared" si="8"/>
        <v>4.3214286641593684</v>
      </c>
      <c r="AA29" s="5">
        <v>10900000</v>
      </c>
      <c r="AB29" s="5" t="s">
        <v>102</v>
      </c>
      <c r="AC29" s="11"/>
      <c r="AD29" s="11"/>
      <c r="AE29" s="11"/>
    </row>
    <row r="30" spans="1:31" x14ac:dyDescent="0.25">
      <c r="A30" s="11">
        <f t="shared" si="9"/>
        <v>23</v>
      </c>
      <c r="B30" s="3" t="s">
        <v>73</v>
      </c>
      <c r="C30" s="5">
        <v>245000</v>
      </c>
      <c r="D30" s="5">
        <f t="shared" si="0"/>
        <v>1630769.2307692308</v>
      </c>
      <c r="E30" s="6" t="s">
        <v>102</v>
      </c>
      <c r="F30" s="5" t="str">
        <f t="shared" si="19"/>
        <v>(D)</v>
      </c>
      <c r="G30" s="6">
        <v>2800</v>
      </c>
      <c r="H30" s="13">
        <f t="shared" si="1"/>
        <v>1878569.2307692308</v>
      </c>
      <c r="I30" s="94">
        <f t="shared" si="10"/>
        <v>62339.330509731233</v>
      </c>
      <c r="J30" s="94">
        <f t="shared" si="11"/>
        <v>94755.782374791481</v>
      </c>
      <c r="K30" s="94">
        <f t="shared" si="12"/>
        <v>132159.38068063022</v>
      </c>
      <c r="L30" s="94">
        <f t="shared" si="13"/>
        <v>1822.2265841306055</v>
      </c>
      <c r="M30" s="94">
        <f t="shared" si="14"/>
        <v>2541.5265515505812</v>
      </c>
      <c r="N30" s="94">
        <f t="shared" si="15"/>
        <v>116.73148958528907</v>
      </c>
      <c r="O30" s="96">
        <f t="shared" si="2"/>
        <v>28.015557500469377</v>
      </c>
      <c r="P30" s="97">
        <f t="shared" si="3"/>
        <v>4.8410029553344405E-2</v>
      </c>
      <c r="Q30" s="94">
        <f t="shared" si="16"/>
        <v>117.96024210723948</v>
      </c>
      <c r="R30" s="94">
        <f t="shared" si="17"/>
        <v>96.60537069127372</v>
      </c>
      <c r="S30" s="11"/>
      <c r="T30" s="13">
        <f>C30*$F$122</f>
        <v>34506405.913978495</v>
      </c>
      <c r="U30" s="13">
        <f t="shared" si="4"/>
        <v>6523076.923076923</v>
      </c>
      <c r="V30" s="13">
        <v>0</v>
      </c>
      <c r="W30" s="13">
        <v>0</v>
      </c>
      <c r="X30" s="13">
        <f t="shared" si="6"/>
        <v>2168144.5783132534</v>
      </c>
      <c r="Y30" s="13">
        <f t="shared" si="7"/>
        <v>43197627.415368669</v>
      </c>
      <c r="Z30" s="33">
        <f t="shared" si="8"/>
        <v>22.994961648381857</v>
      </c>
      <c r="AA30" s="5">
        <v>10600000</v>
      </c>
      <c r="AB30" s="5" t="s">
        <v>103</v>
      </c>
      <c r="AC30" s="11"/>
      <c r="AD30" s="11"/>
      <c r="AE30" s="11"/>
    </row>
    <row r="31" spans="1:31" x14ac:dyDescent="0.25">
      <c r="A31" s="11">
        <f t="shared" si="9"/>
        <v>24</v>
      </c>
      <c r="B31" s="3" t="s">
        <v>45</v>
      </c>
      <c r="C31" s="5" t="s">
        <v>112</v>
      </c>
      <c r="D31" s="5">
        <f t="shared" si="0"/>
        <v>1661538.4615384615</v>
      </c>
      <c r="E31" s="6" t="s">
        <v>102</v>
      </c>
      <c r="F31" s="5" t="str">
        <f t="shared" si="19"/>
        <v>*</v>
      </c>
      <c r="G31" s="6">
        <v>300</v>
      </c>
      <c r="H31" s="13">
        <f t="shared" si="1"/>
        <v>1661838.4615384615</v>
      </c>
      <c r="I31" s="94">
        <f t="shared" si="10"/>
        <v>3654.7153568118629</v>
      </c>
      <c r="J31" s="94">
        <f t="shared" si="11"/>
        <v>5555.1673423540315</v>
      </c>
      <c r="K31" s="94">
        <f t="shared" si="12"/>
        <v>7747.9965564411496</v>
      </c>
      <c r="L31" s="94">
        <f t="shared" si="13"/>
        <v>106.83014119911599</v>
      </c>
      <c r="M31" s="94">
        <f t="shared" si="14"/>
        <v>148.9999337777144</v>
      </c>
      <c r="N31" s="94">
        <f t="shared" si="15"/>
        <v>6.8435185960857261</v>
      </c>
      <c r="O31" s="96">
        <f t="shared" si="2"/>
        <v>1.6424444630605743</v>
      </c>
      <c r="P31" s="97">
        <f t="shared" si="3"/>
        <v>2.8380939767183697E-3</v>
      </c>
      <c r="Q31" s="94">
        <f t="shared" si="16"/>
        <v>6.9155556339392605</v>
      </c>
      <c r="R31" s="94">
        <f t="shared" si="17"/>
        <v>5.6636015967606008</v>
      </c>
      <c r="S31" s="11"/>
      <c r="T31" s="13">
        <v>0</v>
      </c>
      <c r="U31" s="13">
        <f t="shared" si="4"/>
        <v>6646153.846153846</v>
      </c>
      <c r="V31" s="13">
        <v>0</v>
      </c>
      <c r="W31" s="13">
        <v>0</v>
      </c>
      <c r="X31" s="13">
        <f t="shared" si="6"/>
        <v>232301.20481927713</v>
      </c>
      <c r="Y31" s="13">
        <f t="shared" si="7"/>
        <v>6878455.0509731229</v>
      </c>
      <c r="Z31" s="33">
        <f t="shared" si="8"/>
        <v>4.1390635793838424</v>
      </c>
      <c r="AA31" s="5">
        <v>10800000</v>
      </c>
      <c r="AB31" s="5" t="s">
        <v>102</v>
      </c>
      <c r="AC31" s="11"/>
      <c r="AD31" s="11"/>
      <c r="AE31" s="11"/>
    </row>
    <row r="32" spans="1:31" x14ac:dyDescent="0.25">
      <c r="A32" s="11">
        <f t="shared" si="9"/>
        <v>25</v>
      </c>
      <c r="B32" s="3" t="s">
        <v>70</v>
      </c>
      <c r="C32" s="5">
        <v>280000</v>
      </c>
      <c r="D32" s="5">
        <f t="shared" si="0"/>
        <v>1484615.3846153845</v>
      </c>
      <c r="E32" s="6">
        <v>155000</v>
      </c>
      <c r="F32" s="5">
        <f>AB32/$C$138</f>
        <v>152307.69230769231</v>
      </c>
      <c r="G32" s="6">
        <v>2200</v>
      </c>
      <c r="H32" s="13">
        <f t="shared" si="1"/>
        <v>2074123.0769230768</v>
      </c>
      <c r="I32" s="94">
        <f t="shared" si="10"/>
        <v>75105.515180722898</v>
      </c>
      <c r="J32" s="94">
        <f t="shared" si="11"/>
        <v>114160.38307469881</v>
      </c>
      <c r="K32" s="94">
        <f t="shared" si="12"/>
        <v>159223.69218313255</v>
      </c>
      <c r="L32" s="94">
        <f t="shared" si="13"/>
        <v>2195.3919822057464</v>
      </c>
      <c r="M32" s="94">
        <f t="shared" si="14"/>
        <v>3061.9940804448565</v>
      </c>
      <c r="N32" s="94">
        <f t="shared" si="15"/>
        <v>140.63639425431043</v>
      </c>
      <c r="O32" s="96">
        <f t="shared" si="2"/>
        <v>33.752734621034506</v>
      </c>
      <c r="P32" s="97">
        <f t="shared" si="3"/>
        <v>5.8323696770378221E-2</v>
      </c>
      <c r="Q32" s="94">
        <f t="shared" si="16"/>
        <v>142.11677735172424</v>
      </c>
      <c r="R32" s="94">
        <f t="shared" si="17"/>
        <v>116.38874007253277</v>
      </c>
      <c r="S32" s="11"/>
      <c r="T32" s="13">
        <f t="shared" ref="T32:T37" si="20">C32*$F$122</f>
        <v>39435892.473118283</v>
      </c>
      <c r="U32" s="13">
        <f t="shared" si="4"/>
        <v>5938461.538461538</v>
      </c>
      <c r="V32" s="13">
        <f>E32*$C$130</f>
        <v>775000</v>
      </c>
      <c r="W32" s="13">
        <f>AB32*$C$135/$C$138</f>
        <v>3426923.076923077</v>
      </c>
      <c r="X32" s="13">
        <f t="shared" si="6"/>
        <v>1703542.1686746988</v>
      </c>
      <c r="Y32" s="13">
        <f t="shared" si="7"/>
        <v>51279819.257177599</v>
      </c>
      <c r="Z32" s="33">
        <f t="shared" si="8"/>
        <v>24.723614441072737</v>
      </c>
      <c r="AA32" s="5">
        <v>9650000</v>
      </c>
      <c r="AB32" s="5">
        <v>495000</v>
      </c>
      <c r="AC32" s="11"/>
      <c r="AD32" s="11"/>
      <c r="AE32" s="11"/>
    </row>
    <row r="33" spans="1:31" x14ac:dyDescent="0.25">
      <c r="A33" s="11">
        <f t="shared" si="9"/>
        <v>26</v>
      </c>
      <c r="B33" s="3" t="s">
        <v>50</v>
      </c>
      <c r="C33" s="5">
        <v>190000</v>
      </c>
      <c r="D33" s="5">
        <f t="shared" si="0"/>
        <v>1430769.2307692308</v>
      </c>
      <c r="E33" s="6">
        <v>30000</v>
      </c>
      <c r="F33" s="5">
        <f>AB33/$C$138</f>
        <v>110769.23076923077</v>
      </c>
      <c r="G33" s="6">
        <v>13000</v>
      </c>
      <c r="H33" s="13">
        <f t="shared" si="1"/>
        <v>1774538.4615384615</v>
      </c>
      <c r="I33" s="94">
        <f t="shared" si="10"/>
        <v>63015.460333642266</v>
      </c>
      <c r="J33" s="94">
        <f t="shared" si="11"/>
        <v>95783.499707136245</v>
      </c>
      <c r="K33" s="94">
        <f t="shared" si="12"/>
        <v>133592.7759073216</v>
      </c>
      <c r="L33" s="94">
        <f t="shared" si="13"/>
        <v>1841.9903789833893</v>
      </c>
      <c r="M33" s="94">
        <f t="shared" si="14"/>
        <v>2569.0918443715691</v>
      </c>
      <c r="N33" s="94">
        <f t="shared" si="15"/>
        <v>117.99755453742796</v>
      </c>
      <c r="O33" s="96">
        <f t="shared" si="2"/>
        <v>28.31941308898271</v>
      </c>
      <c r="P33" s="97">
        <f t="shared" si="3"/>
        <v>4.8935082749934647E-2</v>
      </c>
      <c r="Q33" s="94">
        <f t="shared" si="16"/>
        <v>119.23963405887457</v>
      </c>
      <c r="R33" s="94">
        <f t="shared" si="17"/>
        <v>97.653148582699004</v>
      </c>
      <c r="S33" s="11"/>
      <c r="T33" s="13">
        <f t="shared" si="20"/>
        <v>26760069.89247312</v>
      </c>
      <c r="U33" s="13">
        <f t="shared" si="4"/>
        <v>5723076.923076923</v>
      </c>
      <c r="V33" s="13">
        <f>E33*$C$130</f>
        <v>150000</v>
      </c>
      <c r="W33" s="13">
        <f>AB33*$C$135/$C$138</f>
        <v>2492307.6923076925</v>
      </c>
      <c r="X33" s="13">
        <f t="shared" si="6"/>
        <v>10066385.542168675</v>
      </c>
      <c r="Y33" s="13">
        <f t="shared" si="7"/>
        <v>45191840.050026417</v>
      </c>
      <c r="Z33" s="33">
        <f t="shared" si="8"/>
        <v>25.46681350081683</v>
      </c>
      <c r="AA33" s="5">
        <v>9300000</v>
      </c>
      <c r="AB33" s="5">
        <v>360000</v>
      </c>
      <c r="AC33" s="11"/>
      <c r="AD33" s="11"/>
      <c r="AE33" s="11"/>
    </row>
    <row r="34" spans="1:31" x14ac:dyDescent="0.25">
      <c r="A34" s="11">
        <f t="shared" si="9"/>
        <v>27</v>
      </c>
      <c r="B34" s="3" t="s">
        <v>65</v>
      </c>
      <c r="C34" s="5">
        <v>110000</v>
      </c>
      <c r="D34" s="5">
        <f t="shared" si="0"/>
        <v>1461538.4615384615</v>
      </c>
      <c r="E34" s="6" t="s">
        <v>102</v>
      </c>
      <c r="F34" s="5" t="str">
        <f>AB34</f>
        <v>*</v>
      </c>
      <c r="G34" s="6">
        <v>900</v>
      </c>
      <c r="H34" s="13">
        <f t="shared" si="1"/>
        <v>1572438.4615384615</v>
      </c>
      <c r="I34" s="94">
        <f t="shared" si="10"/>
        <v>29052.992224281741</v>
      </c>
      <c r="J34" s="94">
        <f t="shared" si="11"/>
        <v>44160.548180908248</v>
      </c>
      <c r="K34" s="94">
        <f t="shared" si="12"/>
        <v>61592.343515477296</v>
      </c>
      <c r="L34" s="94">
        <f t="shared" si="13"/>
        <v>849.24131117131242</v>
      </c>
      <c r="M34" s="94">
        <f t="shared" si="14"/>
        <v>1184.4681445284095</v>
      </c>
      <c r="N34" s="94">
        <f t="shared" si="15"/>
        <v>54.402237424106247</v>
      </c>
      <c r="O34" s="96">
        <f t="shared" si="2"/>
        <v>13.056536981785499</v>
      </c>
      <c r="P34" s="97">
        <f t="shared" si="3"/>
        <v>2.2561297991017325E-2</v>
      </c>
      <c r="Q34" s="94">
        <f t="shared" si="16"/>
        <v>54.97489255488631</v>
      </c>
      <c r="R34" s="94">
        <f t="shared" si="17"/>
        <v>45.022541316501716</v>
      </c>
      <c r="S34" s="11"/>
      <c r="T34" s="13">
        <f t="shared" si="20"/>
        <v>15492672.043010753</v>
      </c>
      <c r="U34" s="13">
        <f t="shared" si="4"/>
        <v>5846153.846153846</v>
      </c>
      <c r="V34" s="13">
        <v>0</v>
      </c>
      <c r="W34" s="13">
        <v>0</v>
      </c>
      <c r="X34" s="13">
        <f t="shared" si="6"/>
        <v>696903.61445783137</v>
      </c>
      <c r="Y34" s="13">
        <f t="shared" si="7"/>
        <v>22035729.503622428</v>
      </c>
      <c r="Z34" s="33">
        <f t="shared" si="8"/>
        <v>14.013730929770595</v>
      </c>
      <c r="AA34" s="5">
        <v>9500000</v>
      </c>
      <c r="AB34" s="5" t="s">
        <v>102</v>
      </c>
      <c r="AC34" s="11"/>
      <c r="AD34" s="11"/>
      <c r="AE34" s="11"/>
    </row>
    <row r="35" spans="1:31" x14ac:dyDescent="0.25">
      <c r="A35" s="11">
        <f t="shared" si="9"/>
        <v>28</v>
      </c>
      <c r="B35" s="3" t="s">
        <v>83</v>
      </c>
      <c r="C35" s="5">
        <v>3000</v>
      </c>
      <c r="D35" s="5">
        <f t="shared" si="0"/>
        <v>1384615.3846153845</v>
      </c>
      <c r="E35" s="6" t="s">
        <v>103</v>
      </c>
      <c r="F35" s="5">
        <f>AB35/$C$138</f>
        <v>181538.46153846153</v>
      </c>
      <c r="G35" s="6">
        <v>13000</v>
      </c>
      <c r="H35" s="13">
        <f t="shared" si="1"/>
        <v>1582153.846153846</v>
      </c>
      <c r="I35" s="94">
        <f t="shared" si="10"/>
        <v>20639.575718257649</v>
      </c>
      <c r="J35" s="94">
        <f t="shared" si="11"/>
        <v>31372.155091751625</v>
      </c>
      <c r="K35" s="94">
        <f t="shared" si="12"/>
        <v>43755.900522706215</v>
      </c>
      <c r="L35" s="94">
        <f t="shared" si="13"/>
        <v>603.31067484137736</v>
      </c>
      <c r="M35" s="94">
        <f t="shared" si="14"/>
        <v>841.45962543665803</v>
      </c>
      <c r="N35" s="94">
        <f t="shared" si="15"/>
        <v>38.647967475757312</v>
      </c>
      <c r="O35" s="96">
        <f t="shared" si="2"/>
        <v>9.2755121941817542</v>
      </c>
      <c r="P35" s="97">
        <f t="shared" si="3"/>
        <v>1.6027802389269676E-2</v>
      </c>
      <c r="Q35" s="94">
        <f t="shared" si="16"/>
        <v>39.054788186028439</v>
      </c>
      <c r="R35" s="94">
        <f t="shared" si="17"/>
        <v>31.98452480752329</v>
      </c>
      <c r="S35" s="11"/>
      <c r="T35" s="13">
        <f t="shared" si="20"/>
        <v>422527.41935483873</v>
      </c>
      <c r="U35" s="13">
        <f t="shared" si="4"/>
        <v>5538461.538461538</v>
      </c>
      <c r="V35" s="13">
        <v>0</v>
      </c>
      <c r="W35" s="13">
        <f>AB35*$C$135/$C$138</f>
        <v>4084615.3846153845</v>
      </c>
      <c r="X35" s="13">
        <f t="shared" si="6"/>
        <v>10066385.542168675</v>
      </c>
      <c r="Y35" s="13">
        <f t="shared" si="7"/>
        <v>20111989.884600438</v>
      </c>
      <c r="Z35" s="33">
        <f t="shared" si="8"/>
        <v>12.711778904113464</v>
      </c>
      <c r="AA35" s="5">
        <v>9000000</v>
      </c>
      <c r="AB35" s="5">
        <v>590000</v>
      </c>
      <c r="AC35" s="11"/>
      <c r="AD35" s="11"/>
      <c r="AE35" s="11"/>
    </row>
    <row r="36" spans="1:31" x14ac:dyDescent="0.25">
      <c r="A36" s="11">
        <f t="shared" si="9"/>
        <v>29</v>
      </c>
      <c r="B36" s="3" t="s">
        <v>36</v>
      </c>
      <c r="C36" s="5">
        <v>23000</v>
      </c>
      <c r="D36" s="5">
        <f t="shared" si="0"/>
        <v>1246153.8461538462</v>
      </c>
      <c r="E36" s="6" t="s">
        <v>102</v>
      </c>
      <c r="F36" s="5" t="str">
        <f>AB36</f>
        <v>*</v>
      </c>
      <c r="G36" s="6">
        <v>800</v>
      </c>
      <c r="H36" s="13">
        <f t="shared" si="1"/>
        <v>1269953.8461538462</v>
      </c>
      <c r="I36" s="94">
        <f t="shared" si="10"/>
        <v>8632.1768489341994</v>
      </c>
      <c r="J36" s="94">
        <f t="shared" si="11"/>
        <v>13120.908810379984</v>
      </c>
      <c r="K36" s="94">
        <f t="shared" si="12"/>
        <v>18300.214919740505</v>
      </c>
      <c r="L36" s="94">
        <f t="shared" si="13"/>
        <v>252.32516943038431</v>
      </c>
      <c r="M36" s="94">
        <f t="shared" si="14"/>
        <v>351.92720999500972</v>
      </c>
      <c r="N36" s="94">
        <f t="shared" si="15"/>
        <v>16.163902526711308</v>
      </c>
      <c r="O36" s="96">
        <f t="shared" si="2"/>
        <v>3.879336606410714</v>
      </c>
      <c r="P36" s="97">
        <f t="shared" si="3"/>
        <v>6.7033754284763752E-3</v>
      </c>
      <c r="Q36" s="94">
        <f t="shared" si="16"/>
        <v>16.334048869097742</v>
      </c>
      <c r="R36" s="94">
        <f t="shared" si="17"/>
        <v>13.3770227807266</v>
      </c>
      <c r="S36" s="11"/>
      <c r="T36" s="13">
        <f t="shared" si="20"/>
        <v>3239376.8817204302</v>
      </c>
      <c r="U36" s="13">
        <f t="shared" si="4"/>
        <v>4984615.384615385</v>
      </c>
      <c r="V36" s="13">
        <v>0</v>
      </c>
      <c r="W36" s="13">
        <v>0</v>
      </c>
      <c r="X36" s="13">
        <f t="shared" si="6"/>
        <v>619469.87951807235</v>
      </c>
      <c r="Y36" s="13">
        <f t="shared" si="7"/>
        <v>8843462.1458538882</v>
      </c>
      <c r="Z36" s="33">
        <f t="shared" si="8"/>
        <v>6.9636090891310731</v>
      </c>
      <c r="AA36" s="5">
        <v>8100000</v>
      </c>
      <c r="AB36" s="5" t="s">
        <v>102</v>
      </c>
      <c r="AC36" s="11"/>
      <c r="AD36" s="11"/>
      <c r="AE36" s="11"/>
    </row>
    <row r="37" spans="1:31" x14ac:dyDescent="0.25">
      <c r="A37" s="11">
        <f t="shared" si="9"/>
        <v>30</v>
      </c>
      <c r="B37" s="3" t="s">
        <v>54</v>
      </c>
      <c r="C37" s="5">
        <v>400</v>
      </c>
      <c r="D37" s="5">
        <f t="shared" si="0"/>
        <v>1207692.3076923077</v>
      </c>
      <c r="E37" s="6">
        <v>3400</v>
      </c>
      <c r="F37" s="5" t="str">
        <f>AB37</f>
        <v>*</v>
      </c>
      <c r="G37" s="6">
        <v>14500</v>
      </c>
      <c r="H37" s="13">
        <f t="shared" si="1"/>
        <v>1225992.3076923077</v>
      </c>
      <c r="I37" s="94">
        <f t="shared" si="10"/>
        <v>18609.755579240042</v>
      </c>
      <c r="J37" s="94">
        <f t="shared" si="11"/>
        <v>28286.828480444863</v>
      </c>
      <c r="K37" s="94">
        <f t="shared" si="12"/>
        <v>39452.68182798889</v>
      </c>
      <c r="L37" s="94">
        <f t="shared" si="13"/>
        <v>543.97747077778581</v>
      </c>
      <c r="M37" s="94">
        <f t="shared" si="14"/>
        <v>758.70541976901711</v>
      </c>
      <c r="N37" s="94">
        <f t="shared" si="15"/>
        <v>34.847093669761641</v>
      </c>
      <c r="O37" s="96">
        <f t="shared" si="2"/>
        <v>8.363302480742794</v>
      </c>
      <c r="P37" s="97">
        <f t="shared" si="3"/>
        <v>1.4451531805124136E-2</v>
      </c>
      <c r="Q37" s="94">
        <f t="shared" si="16"/>
        <v>35.213905182074924</v>
      </c>
      <c r="R37" s="94">
        <f t="shared" si="17"/>
        <v>28.838974071526877</v>
      </c>
      <c r="S37" s="11"/>
      <c r="T37" s="13">
        <f t="shared" si="20"/>
        <v>56336.989247311831</v>
      </c>
      <c r="U37" s="13">
        <f t="shared" si="4"/>
        <v>4830769.230769231</v>
      </c>
      <c r="V37" s="13">
        <f>E37*$C$130</f>
        <v>17000</v>
      </c>
      <c r="W37" s="13">
        <v>0</v>
      </c>
      <c r="X37" s="13">
        <f t="shared" si="6"/>
        <v>11227891.566265061</v>
      </c>
      <c r="Y37" s="13">
        <f t="shared" si="7"/>
        <v>16131997.786281604</v>
      </c>
      <c r="Z37" s="33">
        <f t="shared" si="8"/>
        <v>13.158318926688011</v>
      </c>
      <c r="AA37" s="5">
        <v>7850000</v>
      </c>
      <c r="AB37" s="5" t="s">
        <v>102</v>
      </c>
      <c r="AC37" s="11"/>
      <c r="AD37" s="11"/>
      <c r="AE37" s="11"/>
    </row>
    <row r="38" spans="1:31" x14ac:dyDescent="0.25">
      <c r="A38" s="11">
        <f t="shared" si="9"/>
        <v>31</v>
      </c>
      <c r="B38" s="3" t="s">
        <v>98</v>
      </c>
      <c r="C38" s="5" t="s">
        <v>112</v>
      </c>
      <c r="D38" s="5">
        <f t="shared" si="0"/>
        <v>1015384.6153846154</v>
      </c>
      <c r="E38" s="6">
        <v>1150000</v>
      </c>
      <c r="F38" s="5" t="str">
        <f>AB38</f>
        <v>*</v>
      </c>
      <c r="G38" s="6">
        <v>20000</v>
      </c>
      <c r="H38" s="13">
        <f t="shared" si="1"/>
        <v>2185384.6153846155</v>
      </c>
      <c r="I38" s="94">
        <f t="shared" si="10"/>
        <v>49094.998146431884</v>
      </c>
      <c r="J38" s="94">
        <f t="shared" si="11"/>
        <v>74624.39718257646</v>
      </c>
      <c r="K38" s="94">
        <f t="shared" si="12"/>
        <v>104081.3960704356</v>
      </c>
      <c r="L38" s="94">
        <f t="shared" si="13"/>
        <v>1435.0845612033934</v>
      </c>
      <c r="M38" s="94">
        <f t="shared" si="14"/>
        <v>2001.5653090468384</v>
      </c>
      <c r="N38" s="94">
        <f t="shared" si="15"/>
        <v>91.931244977444777</v>
      </c>
      <c r="O38" s="96">
        <f t="shared" si="2"/>
        <v>22.063498794586746</v>
      </c>
      <c r="P38" s="97">
        <f t="shared" si="3"/>
        <v>3.8125053505654066E-2</v>
      </c>
      <c r="Q38" s="94">
        <f t="shared" si="16"/>
        <v>92.898942292996836</v>
      </c>
      <c r="R38" s="94">
        <f t="shared" si="17"/>
        <v>76.081030326161198</v>
      </c>
      <c r="S38" s="11"/>
      <c r="T38" s="13">
        <v>0</v>
      </c>
      <c r="U38" s="13">
        <f t="shared" si="4"/>
        <v>4061538.4615384615</v>
      </c>
      <c r="V38" s="13">
        <f>E38*$C$130</f>
        <v>5750000</v>
      </c>
      <c r="W38" s="13">
        <v>0</v>
      </c>
      <c r="X38" s="13">
        <f t="shared" si="6"/>
        <v>15486746.987951808</v>
      </c>
      <c r="Y38" s="13">
        <f t="shared" si="7"/>
        <v>25298285.449490272</v>
      </c>
      <c r="Z38" s="33">
        <f t="shared" si="8"/>
        <v>11.576124985687205</v>
      </c>
      <c r="AA38" s="5">
        <v>6600000</v>
      </c>
      <c r="AB38" s="5" t="s">
        <v>102</v>
      </c>
      <c r="AC38" s="11"/>
      <c r="AD38" s="11"/>
      <c r="AE38" s="11"/>
    </row>
    <row r="39" spans="1:31" x14ac:dyDescent="0.25">
      <c r="A39" s="11">
        <f t="shared" si="9"/>
        <v>32</v>
      </c>
      <c r="B39" s="3" t="s">
        <v>66</v>
      </c>
      <c r="C39" s="5">
        <v>190000</v>
      </c>
      <c r="D39" s="5">
        <f t="shared" si="0"/>
        <v>815384.61538461538</v>
      </c>
      <c r="E39" s="6" t="s">
        <v>102</v>
      </c>
      <c r="F39" s="5">
        <f>AB39/$C$138</f>
        <v>600000</v>
      </c>
      <c r="G39" s="6">
        <v>1900</v>
      </c>
      <c r="H39" s="13">
        <f t="shared" si="1"/>
        <v>1607284.6153846155</v>
      </c>
      <c r="I39" s="94">
        <f t="shared" si="10"/>
        <v>56446.145977757187</v>
      </c>
      <c r="J39" s="94">
        <f t="shared" si="11"/>
        <v>85798.141886190919</v>
      </c>
      <c r="K39" s="94">
        <f t="shared" si="12"/>
        <v>119665.82947284525</v>
      </c>
      <c r="L39" s="94">
        <f t="shared" si="13"/>
        <v>1649.9642670421331</v>
      </c>
      <c r="M39" s="94">
        <f t="shared" si="14"/>
        <v>2301.2659514008701</v>
      </c>
      <c r="N39" s="94">
        <f t="shared" si="15"/>
        <v>105.69639820407943</v>
      </c>
      <c r="O39" s="96">
        <f t="shared" si="2"/>
        <v>25.367135568979062</v>
      </c>
      <c r="P39" s="97">
        <f t="shared" si="3"/>
        <v>4.3833637169540383E-2</v>
      </c>
      <c r="Q39" s="94">
        <f t="shared" si="16"/>
        <v>106.80899186938552</v>
      </c>
      <c r="R39" s="94">
        <f t="shared" si="17"/>
        <v>87.472881272341596</v>
      </c>
      <c r="S39" s="11"/>
      <c r="T39" s="13">
        <f>C39*$F$122</f>
        <v>26760069.89247312</v>
      </c>
      <c r="U39" s="13">
        <f t="shared" si="4"/>
        <v>3261538.4615384615</v>
      </c>
      <c r="V39" s="13">
        <v>0</v>
      </c>
      <c r="W39" s="13">
        <f>AB39*$C$135/$C$138</f>
        <v>13500000</v>
      </c>
      <c r="X39" s="13">
        <f t="shared" si="6"/>
        <v>1471240.9638554219</v>
      </c>
      <c r="Y39" s="13">
        <f t="shared" si="7"/>
        <v>44992849.317867003</v>
      </c>
      <c r="Z39" s="33">
        <f t="shared" si="8"/>
        <v>27.993081553325531</v>
      </c>
      <c r="AA39" s="5">
        <v>5300000</v>
      </c>
      <c r="AB39" s="5">
        <v>1950000</v>
      </c>
      <c r="AC39" s="11"/>
      <c r="AD39" s="11"/>
      <c r="AE39" s="11"/>
    </row>
    <row r="40" spans="1:31" s="68" customFormat="1" x14ac:dyDescent="0.25">
      <c r="A40" s="90">
        <f t="shared" si="9"/>
        <v>33</v>
      </c>
      <c r="B40" s="91" t="s">
        <v>100</v>
      </c>
      <c r="C40" s="92">
        <v>431200</v>
      </c>
      <c r="D40" s="92">
        <f t="shared" ref="D40:D61" si="21">AA40/$C$127</f>
        <v>224076.92307692306</v>
      </c>
      <c r="E40" s="93">
        <v>4671400</v>
      </c>
      <c r="F40" s="92">
        <f>AB40/$C$138</f>
        <v>220000</v>
      </c>
      <c r="G40" s="93">
        <v>300</v>
      </c>
      <c r="H40" s="94">
        <f t="shared" ref="H40:H71" si="22">SUM(C40:G40)</f>
        <v>5546976.923076923</v>
      </c>
      <c r="I40" s="94">
        <f t="shared" si="10"/>
        <v>204088.37227988878</v>
      </c>
      <c r="J40" s="94">
        <f t="shared" si="11"/>
        <v>310214.32586543093</v>
      </c>
      <c r="K40" s="94">
        <f t="shared" si="12"/>
        <v>432667.34923336422</v>
      </c>
      <c r="L40" s="94">
        <f t="shared" si="13"/>
        <v>5965.6601127967488</v>
      </c>
      <c r="M40" s="94">
        <f t="shared" si="14"/>
        <v>8320.5259467954656</v>
      </c>
      <c r="N40" s="94">
        <f t="shared" si="15"/>
        <v>382.15905606412565</v>
      </c>
      <c r="O40" s="96">
        <f t="shared" ref="O40:O72" si="23">M40/$E$171</f>
        <v>91.718173455390144</v>
      </c>
      <c r="P40" s="97">
        <f t="shared" ref="P40:P72" si="24">M40/$E$172</f>
        <v>0.15848620851038983</v>
      </c>
      <c r="Q40" s="94">
        <f t="shared" si="16"/>
        <v>386.18178297006381</v>
      </c>
      <c r="R40" s="94">
        <f t="shared" si="17"/>
        <v>316.26956363927638</v>
      </c>
      <c r="S40" s="90"/>
      <c r="T40" s="94">
        <f>C40*$F$122</f>
        <v>60731274.408602148</v>
      </c>
      <c r="U40" s="94">
        <f t="shared" ref="U40:U61" si="25">AA40*$C$126/$C$127</f>
        <v>896307.69230769225</v>
      </c>
      <c r="V40" s="94">
        <f>E40*$C$130</f>
        <v>23357000</v>
      </c>
      <c r="W40" s="94">
        <f>AB40*$C$135/$C$138</f>
        <v>4950000</v>
      </c>
      <c r="X40" s="94">
        <f t="shared" ref="X40:X71" si="26">G40*$F$152</f>
        <v>232301.20481927713</v>
      </c>
      <c r="Y40" s="94">
        <f t="shared" ref="Y40:Y71" si="27">SUM(T40:X40)</f>
        <v>90166883.305729121</v>
      </c>
      <c r="Z40" s="95">
        <f t="shared" ref="Z40:Z71" si="28">Y40/H40</f>
        <v>16.255139431103547</v>
      </c>
      <c r="AA40" s="92">
        <v>1456500</v>
      </c>
      <c r="AB40" s="92">
        <v>715000</v>
      </c>
      <c r="AC40" s="90"/>
      <c r="AD40" s="90"/>
      <c r="AE40" s="90"/>
    </row>
    <row r="41" spans="1:31" x14ac:dyDescent="0.25">
      <c r="A41" s="11">
        <f t="shared" ref="A41:A72" si="29">A40+1</f>
        <v>34</v>
      </c>
      <c r="B41" s="3" t="s">
        <v>32</v>
      </c>
      <c r="C41" s="5">
        <v>110000</v>
      </c>
      <c r="D41" s="5">
        <f t="shared" si="21"/>
        <v>1053846.1538461538</v>
      </c>
      <c r="E41" s="6" t="s">
        <v>103</v>
      </c>
      <c r="F41" s="5" t="str">
        <f>AB41</f>
        <v>*</v>
      </c>
      <c r="G41" s="6">
        <v>2100</v>
      </c>
      <c r="H41" s="13">
        <f t="shared" si="22"/>
        <v>1165946.1538461538</v>
      </c>
      <c r="I41" s="94">
        <f t="shared" si="10"/>
        <v>29564.161343836888</v>
      </c>
      <c r="J41" s="94">
        <f t="shared" si="11"/>
        <v>44937.525242632073</v>
      </c>
      <c r="K41" s="94">
        <f t="shared" si="12"/>
        <v>62676.022048934203</v>
      </c>
      <c r="L41" s="94">
        <f t="shared" si="13"/>
        <v>864.1831777429245</v>
      </c>
      <c r="M41" s="94">
        <f t="shared" si="14"/>
        <v>1205.3081163256577</v>
      </c>
      <c r="N41" s="94">
        <f t="shared" si="15"/>
        <v>55.359410564526129</v>
      </c>
      <c r="O41" s="96">
        <f t="shared" si="23"/>
        <v>13.286258535486271</v>
      </c>
      <c r="P41" s="97">
        <f t="shared" si="24"/>
        <v>2.2958249834774434E-2</v>
      </c>
      <c r="Q41" s="94">
        <f t="shared" si="16"/>
        <v>55.942141202047459</v>
      </c>
      <c r="R41" s="94">
        <f t="shared" si="17"/>
        <v>45.814684605125073</v>
      </c>
      <c r="S41" s="11"/>
      <c r="T41" s="13">
        <f>C41*$F$122</f>
        <v>15492672.043010753</v>
      </c>
      <c r="U41" s="13">
        <f t="shared" si="25"/>
        <v>4215384.615384615</v>
      </c>
      <c r="V41" s="13">
        <v>0</v>
      </c>
      <c r="W41" s="13">
        <v>0</v>
      </c>
      <c r="X41" s="13">
        <f t="shared" si="26"/>
        <v>1626108.4337349399</v>
      </c>
      <c r="Y41" s="13">
        <f t="shared" si="27"/>
        <v>21334165.092130307</v>
      </c>
      <c r="Z41" s="33">
        <f t="shared" si="28"/>
        <v>18.297727576659035</v>
      </c>
      <c r="AA41" s="5">
        <v>6850000</v>
      </c>
      <c r="AB41" s="5" t="s">
        <v>102</v>
      </c>
      <c r="AC41" s="11"/>
      <c r="AD41" s="11"/>
      <c r="AE41" s="11"/>
    </row>
    <row r="42" spans="1:31" x14ac:dyDescent="0.25">
      <c r="A42" s="11">
        <f t="shared" si="29"/>
        <v>35</v>
      </c>
      <c r="B42" s="3" t="s">
        <v>28</v>
      </c>
      <c r="C42" s="5" t="s">
        <v>112</v>
      </c>
      <c r="D42" s="5">
        <f t="shared" si="21"/>
        <v>938461.5384615385</v>
      </c>
      <c r="E42" s="6">
        <v>110000</v>
      </c>
      <c r="F42" s="5" t="str">
        <f>AB42</f>
        <v>*</v>
      </c>
      <c r="G42" s="6">
        <v>12500</v>
      </c>
      <c r="H42" s="13">
        <f t="shared" si="22"/>
        <v>1060961.5384615385</v>
      </c>
      <c r="I42" s="94">
        <f t="shared" si="10"/>
        <v>18082.191149212234</v>
      </c>
      <c r="J42" s="94">
        <f t="shared" si="11"/>
        <v>27484.930546802596</v>
      </c>
      <c r="K42" s="94">
        <f t="shared" si="12"/>
        <v>38334.245236329938</v>
      </c>
      <c r="L42" s="94">
        <f t="shared" si="13"/>
        <v>528.55635666928072</v>
      </c>
      <c r="M42" s="94">
        <f t="shared" si="14"/>
        <v>737.19702377557576</v>
      </c>
      <c r="N42" s="94">
        <f t="shared" si="15"/>
        <v>33.859220022967399</v>
      </c>
      <c r="O42" s="96">
        <f t="shared" si="23"/>
        <v>8.126212805512175</v>
      </c>
      <c r="P42" s="97">
        <f t="shared" si="24"/>
        <v>1.4041848071915729E-2</v>
      </c>
      <c r="Q42" s="94">
        <f t="shared" si="16"/>
        <v>34.215632865314426</v>
      </c>
      <c r="R42" s="94">
        <f t="shared" si="17"/>
        <v>28.021423467283363</v>
      </c>
      <c r="S42" s="11"/>
      <c r="T42" s="13">
        <v>0</v>
      </c>
      <c r="U42" s="13">
        <f t="shared" si="25"/>
        <v>3753846.153846154</v>
      </c>
      <c r="V42" s="13">
        <f>E42*$C$130</f>
        <v>550000</v>
      </c>
      <c r="W42" s="13">
        <v>0</v>
      </c>
      <c r="X42" s="13">
        <f t="shared" si="26"/>
        <v>9679216.8674698807</v>
      </c>
      <c r="Y42" s="13">
        <f t="shared" si="27"/>
        <v>13983063.021316035</v>
      </c>
      <c r="Z42" s="33">
        <f t="shared" si="28"/>
        <v>13.179613505681235</v>
      </c>
      <c r="AA42" s="5">
        <v>6100000</v>
      </c>
      <c r="AB42" s="5" t="s">
        <v>102</v>
      </c>
      <c r="AC42" s="11"/>
      <c r="AD42" s="11"/>
      <c r="AE42" s="11"/>
    </row>
    <row r="43" spans="1:31" x14ac:dyDescent="0.25">
      <c r="A43" s="11">
        <f t="shared" si="29"/>
        <v>36</v>
      </c>
      <c r="B43" s="3" t="s">
        <v>46</v>
      </c>
      <c r="C43" s="5">
        <v>75000</v>
      </c>
      <c r="D43" s="5">
        <f t="shared" si="21"/>
        <v>830769.23076923075</v>
      </c>
      <c r="E43" s="6" t="s">
        <v>102</v>
      </c>
      <c r="F43" s="5">
        <f>AB43/$C$138</f>
        <v>64615.384615384617</v>
      </c>
      <c r="G43" s="6">
        <v>1300</v>
      </c>
      <c r="H43" s="13">
        <f t="shared" si="22"/>
        <v>971684.61538461538</v>
      </c>
      <c r="I43" s="94">
        <f t="shared" si="10"/>
        <v>21237.676802594993</v>
      </c>
      <c r="J43" s="94">
        <f t="shared" si="11"/>
        <v>32281.268739944389</v>
      </c>
      <c r="K43" s="94">
        <f t="shared" si="12"/>
        <v>45023.874821501391</v>
      </c>
      <c r="L43" s="94">
        <f t="shared" si="13"/>
        <v>620.79362961431514</v>
      </c>
      <c r="M43" s="94">
        <f t="shared" si="14"/>
        <v>865.84374656733439</v>
      </c>
      <c r="N43" s="94">
        <f t="shared" si="15"/>
        <v>39.767922244703314</v>
      </c>
      <c r="O43" s="96">
        <f t="shared" si="23"/>
        <v>9.5443013387287952</v>
      </c>
      <c r="P43" s="97">
        <f t="shared" si="24"/>
        <v>1.6492261839377798E-2</v>
      </c>
      <c r="Q43" s="94">
        <f t="shared" si="16"/>
        <v>40.186531952542296</v>
      </c>
      <c r="R43" s="94">
        <f t="shared" si="17"/>
        <v>32.91138392665102</v>
      </c>
      <c r="S43" s="11"/>
      <c r="T43" s="13">
        <f>C43*$F$122</f>
        <v>10563185.483870968</v>
      </c>
      <c r="U43" s="13">
        <f t="shared" si="25"/>
        <v>3323076.923076923</v>
      </c>
      <c r="V43" s="13">
        <v>0</v>
      </c>
      <c r="W43" s="13">
        <f>AB43*$C$135/$C$138</f>
        <v>1453846.1538461538</v>
      </c>
      <c r="X43" s="13">
        <f t="shared" si="26"/>
        <v>1006638.5542168675</v>
      </c>
      <c r="Y43" s="13">
        <f t="shared" si="27"/>
        <v>16346747.115010913</v>
      </c>
      <c r="Z43" s="33">
        <f t="shared" si="28"/>
        <v>16.823099652082576</v>
      </c>
      <c r="AA43" s="5">
        <v>5400000</v>
      </c>
      <c r="AB43" s="5">
        <v>210000</v>
      </c>
      <c r="AC43" s="11"/>
      <c r="AD43" s="11"/>
      <c r="AE43" s="11"/>
    </row>
    <row r="44" spans="1:31" x14ac:dyDescent="0.25">
      <c r="A44" s="11">
        <f t="shared" si="29"/>
        <v>37</v>
      </c>
      <c r="B44" s="3" t="s">
        <v>11</v>
      </c>
      <c r="C44" s="5" t="s">
        <v>112</v>
      </c>
      <c r="D44" s="5">
        <f t="shared" si="21"/>
        <v>838461.5384615385</v>
      </c>
      <c r="E44" s="6">
        <v>160000</v>
      </c>
      <c r="F44" s="5" t="str">
        <f>AB44</f>
        <v>*</v>
      </c>
      <c r="G44" s="6">
        <v>4200</v>
      </c>
      <c r="H44" s="13">
        <f t="shared" si="22"/>
        <v>1002661.5384615385</v>
      </c>
      <c r="I44" s="94">
        <f t="shared" si="10"/>
        <v>9791.8611492122345</v>
      </c>
      <c r="J44" s="94">
        <f t="shared" si="11"/>
        <v>14883.628946802597</v>
      </c>
      <c r="K44" s="94">
        <f t="shared" si="12"/>
        <v>20758.745636329939</v>
      </c>
      <c r="L44" s="94">
        <f t="shared" si="13"/>
        <v>286.22363359235766</v>
      </c>
      <c r="M44" s="94">
        <f t="shared" si="14"/>
        <v>399.20664685249881</v>
      </c>
      <c r="N44" s="94">
        <f t="shared" si="15"/>
        <v>18.335431715639587</v>
      </c>
      <c r="O44" s="96">
        <f t="shared" si="23"/>
        <v>4.4005036117535008</v>
      </c>
      <c r="P44" s="97">
        <f t="shared" si="24"/>
        <v>7.6039361305237866E-3</v>
      </c>
      <c r="Q44" s="94">
        <f t="shared" si="16"/>
        <v>18.528436260014743</v>
      </c>
      <c r="R44" s="94">
        <f t="shared" si="17"/>
        <v>15.174150385356899</v>
      </c>
      <c r="S44" s="11"/>
      <c r="T44" s="13">
        <v>0</v>
      </c>
      <c r="U44" s="13">
        <f t="shared" si="25"/>
        <v>3353846.153846154</v>
      </c>
      <c r="V44" s="13">
        <f>E44*$C$130</f>
        <v>800000</v>
      </c>
      <c r="W44" s="13">
        <v>0</v>
      </c>
      <c r="X44" s="13">
        <f t="shared" si="26"/>
        <v>3252216.8674698798</v>
      </c>
      <c r="Y44" s="13">
        <f t="shared" si="27"/>
        <v>7406063.0213160338</v>
      </c>
      <c r="Z44" s="33">
        <f t="shared" si="28"/>
        <v>7.3864038234474734</v>
      </c>
      <c r="AA44" s="5">
        <v>5450000</v>
      </c>
      <c r="AB44" s="5" t="s">
        <v>102</v>
      </c>
      <c r="AC44" s="11"/>
      <c r="AD44" s="11"/>
      <c r="AE44" s="11"/>
    </row>
    <row r="45" spans="1:31" x14ac:dyDescent="0.25">
      <c r="A45" s="11">
        <f t="shared" si="29"/>
        <v>38</v>
      </c>
      <c r="B45" s="3" t="s">
        <v>39</v>
      </c>
      <c r="C45" s="5">
        <v>340000</v>
      </c>
      <c r="D45" s="5">
        <f t="shared" si="21"/>
        <v>500000</v>
      </c>
      <c r="E45" s="6" t="s">
        <v>102</v>
      </c>
      <c r="F45" s="5">
        <f>AB45/$C$138</f>
        <v>569230.76923076925</v>
      </c>
      <c r="G45" s="6">
        <v>1500</v>
      </c>
      <c r="H45" s="13">
        <f t="shared" si="22"/>
        <v>1410730.7692307692</v>
      </c>
      <c r="I45" s="94">
        <f t="shared" si="10"/>
        <v>89171.269091751616</v>
      </c>
      <c r="J45" s="94">
        <f t="shared" si="11"/>
        <v>135540.32901946246</v>
      </c>
      <c r="K45" s="94">
        <f t="shared" si="12"/>
        <v>189043.09047451345</v>
      </c>
      <c r="L45" s="94">
        <f t="shared" si="13"/>
        <v>2606.5447888358167</v>
      </c>
      <c r="M45" s="94">
        <f t="shared" si="14"/>
        <v>3635.4440475867968</v>
      </c>
      <c r="N45" s="94">
        <f t="shared" si="15"/>
        <v>166.97476511503348</v>
      </c>
      <c r="O45" s="96">
        <f t="shared" si="23"/>
        <v>40.073943627608031</v>
      </c>
      <c r="P45" s="97">
        <f t="shared" si="24"/>
        <v>6.9246553287367563E-2</v>
      </c>
      <c r="Q45" s="94">
        <f t="shared" si="16"/>
        <v>168.73239422150752</v>
      </c>
      <c r="R45" s="94">
        <f t="shared" si="17"/>
        <v>138.18601250899323</v>
      </c>
      <c r="S45" s="11"/>
      <c r="T45" s="13">
        <f>C45*$F$122</f>
        <v>47886440.860215053</v>
      </c>
      <c r="U45" s="13">
        <f t="shared" si="25"/>
        <v>2000000</v>
      </c>
      <c r="V45" s="13">
        <v>0</v>
      </c>
      <c r="W45" s="13">
        <f>AB45*$C$135/$C$138</f>
        <v>12807692.307692308</v>
      </c>
      <c r="X45" s="13">
        <f t="shared" si="26"/>
        <v>1161506.0240963856</v>
      </c>
      <c r="Y45" s="13">
        <f t="shared" si="27"/>
        <v>63855639.192003742</v>
      </c>
      <c r="Z45" s="33">
        <f t="shared" si="28"/>
        <v>45.264228004910095</v>
      </c>
      <c r="AA45" s="5">
        <v>3250000</v>
      </c>
      <c r="AB45" s="5">
        <v>1850000</v>
      </c>
      <c r="AC45" s="11"/>
      <c r="AD45" s="11"/>
      <c r="AE45" s="11"/>
    </row>
    <row r="46" spans="1:31" x14ac:dyDescent="0.25">
      <c r="A46" s="11">
        <f t="shared" si="29"/>
        <v>39</v>
      </c>
      <c r="B46" s="3" t="s">
        <v>80</v>
      </c>
      <c r="C46" s="5" t="s">
        <v>112</v>
      </c>
      <c r="D46" s="5">
        <f t="shared" si="21"/>
        <v>746153.84615384613</v>
      </c>
      <c r="E46" s="6">
        <v>2300</v>
      </c>
      <c r="F46" s="5" t="str">
        <f>AB46</f>
        <v>*</v>
      </c>
      <c r="G46" s="6">
        <v>7600</v>
      </c>
      <c r="H46" s="13">
        <f t="shared" si="22"/>
        <v>756053.84615384613</v>
      </c>
      <c r="I46" s="94">
        <f t="shared" si="10"/>
        <v>9943.7246802595018</v>
      </c>
      <c r="J46" s="94">
        <f t="shared" si="11"/>
        <v>15114.461513994444</v>
      </c>
      <c r="K46" s="94">
        <f t="shared" si="12"/>
        <v>21080.696322150146</v>
      </c>
      <c r="L46" s="94">
        <f t="shared" si="13"/>
        <v>290.66272142297009</v>
      </c>
      <c r="M46" s="94">
        <f t="shared" si="14"/>
        <v>405.39800619519514</v>
      </c>
      <c r="N46" s="94">
        <f t="shared" si="15"/>
        <v>18.619798840661282</v>
      </c>
      <c r="O46" s="96">
        <f t="shared" si="23"/>
        <v>4.4687517217587072</v>
      </c>
      <c r="P46" s="97">
        <f t="shared" si="24"/>
        <v>7.7218667846703833E-3</v>
      </c>
      <c r="Q46" s="94">
        <f t="shared" si="16"/>
        <v>18.815796723194559</v>
      </c>
      <c r="R46" s="94">
        <f t="shared" si="17"/>
        <v>15.409488695719681</v>
      </c>
      <c r="S46" s="11"/>
      <c r="T46" s="13">
        <v>0</v>
      </c>
      <c r="U46" s="13">
        <f t="shared" si="25"/>
        <v>2984615.3846153845</v>
      </c>
      <c r="V46" s="13">
        <f>E46*$C$130</f>
        <v>11500</v>
      </c>
      <c r="W46" s="13">
        <v>0</v>
      </c>
      <c r="X46" s="13">
        <f t="shared" si="26"/>
        <v>5884963.8554216875</v>
      </c>
      <c r="Y46" s="13">
        <f t="shared" si="27"/>
        <v>8881079.2400370724</v>
      </c>
      <c r="Z46" s="33">
        <f t="shared" si="28"/>
        <v>11.746622658182867</v>
      </c>
      <c r="AA46" s="5">
        <v>4850000</v>
      </c>
      <c r="AB46" s="5" t="s">
        <v>102</v>
      </c>
      <c r="AC46" s="11"/>
      <c r="AD46" s="11"/>
      <c r="AE46" s="11"/>
    </row>
    <row r="47" spans="1:31" x14ac:dyDescent="0.25">
      <c r="A47" s="11">
        <f t="shared" si="29"/>
        <v>40</v>
      </c>
      <c r="B47" s="3" t="s">
        <v>79</v>
      </c>
      <c r="C47" s="5" t="s">
        <v>112</v>
      </c>
      <c r="D47" s="5">
        <f t="shared" si="21"/>
        <v>692307.69230769225</v>
      </c>
      <c r="E47" s="6">
        <v>60000</v>
      </c>
      <c r="F47" s="5" t="str">
        <f>AB47</f>
        <v>*</v>
      </c>
      <c r="G47" s="6">
        <v>18500</v>
      </c>
      <c r="H47" s="13">
        <f t="shared" si="22"/>
        <v>770807.69230769225</v>
      </c>
      <c r="I47" s="94">
        <f t="shared" si="10"/>
        <v>23137.65213160334</v>
      </c>
      <c r="J47" s="94">
        <f t="shared" si="11"/>
        <v>35169.231240037079</v>
      </c>
      <c r="K47" s="94">
        <f t="shared" si="12"/>
        <v>49051.822518999084</v>
      </c>
      <c r="L47" s="94">
        <f t="shared" si="13"/>
        <v>676.33137000071304</v>
      </c>
      <c r="M47" s="94">
        <f t="shared" si="14"/>
        <v>943.30427921152091</v>
      </c>
      <c r="N47" s="94">
        <f t="shared" si="15"/>
        <v>43.325659366949488</v>
      </c>
      <c r="O47" s="96">
        <f t="shared" si="23"/>
        <v>10.398158248067876</v>
      </c>
      <c r="P47" s="97">
        <f t="shared" si="24"/>
        <v>1.7967700556409921E-2</v>
      </c>
      <c r="Q47" s="94">
        <f t="shared" si="16"/>
        <v>43.781718939233166</v>
      </c>
      <c r="R47" s="94">
        <f t="shared" si="17"/>
        <v>35.855718096785779</v>
      </c>
      <c r="S47" s="11"/>
      <c r="T47" s="13">
        <v>0</v>
      </c>
      <c r="U47" s="13">
        <f t="shared" si="25"/>
        <v>2769230.769230769</v>
      </c>
      <c r="V47" s="13">
        <f>E47*$C$130</f>
        <v>300000</v>
      </c>
      <c r="W47" s="13">
        <v>0</v>
      </c>
      <c r="X47" s="13">
        <f t="shared" si="26"/>
        <v>14325240.963855423</v>
      </c>
      <c r="Y47" s="13">
        <f t="shared" si="27"/>
        <v>17394471.733086191</v>
      </c>
      <c r="Z47" s="33">
        <f t="shared" si="28"/>
        <v>22.566551821777406</v>
      </c>
      <c r="AA47" s="5">
        <v>4500000</v>
      </c>
      <c r="AB47" s="5" t="s">
        <v>102</v>
      </c>
      <c r="AC47" s="11"/>
      <c r="AD47" s="11"/>
      <c r="AE47" s="11"/>
    </row>
    <row r="48" spans="1:31" x14ac:dyDescent="0.25">
      <c r="A48" s="11">
        <f t="shared" si="29"/>
        <v>41</v>
      </c>
      <c r="B48" s="3" t="s">
        <v>53</v>
      </c>
      <c r="C48" s="5">
        <v>275000</v>
      </c>
      <c r="D48" s="5">
        <f t="shared" si="21"/>
        <v>315384.61538461538</v>
      </c>
      <c r="E48" s="6">
        <v>120000</v>
      </c>
      <c r="F48" s="5">
        <f>AB48/$C$138</f>
        <v>492307.69230769231</v>
      </c>
      <c r="G48" s="6">
        <v>2300</v>
      </c>
      <c r="H48" s="13">
        <f t="shared" si="22"/>
        <v>1204992.3076923077</v>
      </c>
      <c r="I48" s="94">
        <f t="shared" si="10"/>
        <v>76245.599786839681</v>
      </c>
      <c r="J48" s="94">
        <f t="shared" si="11"/>
        <v>115893.31167599632</v>
      </c>
      <c r="K48" s="94">
        <f t="shared" si="12"/>
        <v>161640.67154810013</v>
      </c>
      <c r="L48" s="94">
        <f t="shared" si="13"/>
        <v>2228.7175322306985</v>
      </c>
      <c r="M48" s="94">
        <f t="shared" si="14"/>
        <v>3108.4744528480796</v>
      </c>
      <c r="N48" s="94">
        <f t="shared" si="15"/>
        <v>142.77122267221421</v>
      </c>
      <c r="O48" s="96">
        <f t="shared" si="23"/>
        <v>34.265093441331409</v>
      </c>
      <c r="P48" s="97">
        <f t="shared" si="24"/>
        <v>5.9209037197106282E-2</v>
      </c>
      <c r="Q48" s="94">
        <f t="shared" si="16"/>
        <v>144.27407764771121</v>
      </c>
      <c r="R48" s="94">
        <f t="shared" si="17"/>
        <v>118.15549462528072</v>
      </c>
      <c r="S48" s="11"/>
      <c r="T48" s="13">
        <f>C48*$F$122</f>
        <v>38731680.107526883</v>
      </c>
      <c r="U48" s="13">
        <f t="shared" si="25"/>
        <v>1261538.4615384615</v>
      </c>
      <c r="V48" s="13">
        <f>E48*$C$130</f>
        <v>600000</v>
      </c>
      <c r="W48" s="13">
        <f>AB48*$C$135/$C$138</f>
        <v>11076923.076923076</v>
      </c>
      <c r="X48" s="13">
        <f t="shared" si="26"/>
        <v>1780975.9036144579</v>
      </c>
      <c r="Y48" s="13">
        <f t="shared" si="27"/>
        <v>53451117.549602881</v>
      </c>
      <c r="Z48" s="33">
        <f t="shared" si="28"/>
        <v>44.35805706674396</v>
      </c>
      <c r="AA48" s="5">
        <v>2050000</v>
      </c>
      <c r="AB48" s="5">
        <v>1600000</v>
      </c>
      <c r="AC48" s="11"/>
      <c r="AD48" s="11"/>
      <c r="AE48" s="11"/>
    </row>
    <row r="49" spans="1:31" x14ac:dyDescent="0.25">
      <c r="A49" s="11">
        <f t="shared" si="29"/>
        <v>42</v>
      </c>
      <c r="B49" s="3" t="s">
        <v>52</v>
      </c>
      <c r="C49" s="5" t="s">
        <v>112</v>
      </c>
      <c r="D49" s="5">
        <f t="shared" si="21"/>
        <v>615384.61538461538</v>
      </c>
      <c r="E49" s="6" t="s">
        <v>103</v>
      </c>
      <c r="F49" s="5" t="str">
        <f>AB49</f>
        <v>*</v>
      </c>
      <c r="G49" s="6">
        <v>3800</v>
      </c>
      <c r="H49" s="13">
        <f t="shared" si="22"/>
        <v>619184.61538461538</v>
      </c>
      <c r="I49" s="94">
        <f t="shared" si="10"/>
        <v>5431.5227247451348</v>
      </c>
      <c r="J49" s="94">
        <f t="shared" si="11"/>
        <v>8255.9145416126048</v>
      </c>
      <c r="K49" s="94">
        <f t="shared" si="12"/>
        <v>11514.828176459687</v>
      </c>
      <c r="L49" s="94">
        <f t="shared" si="13"/>
        <v>158.76758733870395</v>
      </c>
      <c r="M49" s="94">
        <f t="shared" si="14"/>
        <v>221.43900339345552</v>
      </c>
      <c r="N49" s="94">
        <f t="shared" si="15"/>
        <v>10.170621551299384</v>
      </c>
      <c r="O49" s="96">
        <f t="shared" si="23"/>
        <v>2.4409491723118522</v>
      </c>
      <c r="P49" s="97">
        <f t="shared" si="24"/>
        <v>4.2178857789229619E-3</v>
      </c>
      <c r="Q49" s="94">
        <f t="shared" si="16"/>
        <v>10.277680725523588</v>
      </c>
      <c r="R49" s="94">
        <f t="shared" si="17"/>
        <v>8.4170661114201799</v>
      </c>
      <c r="S49" s="11"/>
      <c r="T49" s="13">
        <v>0</v>
      </c>
      <c r="U49" s="13">
        <f t="shared" si="25"/>
        <v>2461538.4615384615</v>
      </c>
      <c r="V49" s="13">
        <v>0</v>
      </c>
      <c r="W49" s="13">
        <v>0</v>
      </c>
      <c r="X49" s="13">
        <f t="shared" si="26"/>
        <v>2942481.9277108437</v>
      </c>
      <c r="Y49" s="13">
        <f t="shared" si="27"/>
        <v>5404020.3892493052</v>
      </c>
      <c r="Z49" s="33">
        <f t="shared" si="28"/>
        <v>8.7276399558030366</v>
      </c>
      <c r="AA49" s="5">
        <v>4000000</v>
      </c>
      <c r="AB49" s="5" t="s">
        <v>102</v>
      </c>
      <c r="AC49" s="11"/>
      <c r="AD49" s="11"/>
      <c r="AE49" s="11"/>
    </row>
    <row r="50" spans="1:31" x14ac:dyDescent="0.25">
      <c r="A50" s="11">
        <f t="shared" si="29"/>
        <v>43</v>
      </c>
      <c r="B50" s="3" t="s">
        <v>51</v>
      </c>
      <c r="C50" s="5">
        <v>295000</v>
      </c>
      <c r="D50" s="5">
        <f t="shared" si="21"/>
        <v>453846.15384615387</v>
      </c>
      <c r="E50" s="6" t="s">
        <v>102</v>
      </c>
      <c r="F50" s="5">
        <f>AB50/$C$138</f>
        <v>86153.846153846156</v>
      </c>
      <c r="G50" s="6">
        <v>1100</v>
      </c>
      <c r="H50" s="13">
        <f t="shared" si="22"/>
        <v>836100</v>
      </c>
      <c r="I50" s="94">
        <f t="shared" si="10"/>
        <v>70866.584513438371</v>
      </c>
      <c r="J50" s="94">
        <f t="shared" si="11"/>
        <v>107717.20846042632</v>
      </c>
      <c r="K50" s="94">
        <f t="shared" si="12"/>
        <v>150237.15916848936</v>
      </c>
      <c r="L50" s="94">
        <f t="shared" si="13"/>
        <v>2071.4847780851214</v>
      </c>
      <c r="M50" s="94">
        <f t="shared" si="14"/>
        <v>2889.1761378555648</v>
      </c>
      <c r="N50" s="94">
        <f t="shared" si="15"/>
        <v>132.69892224434645</v>
      </c>
      <c r="O50" s="96">
        <f t="shared" si="23"/>
        <v>31.84774133864315</v>
      </c>
      <c r="P50" s="97">
        <f t="shared" si="24"/>
        <v>5.5031926435344089E-2</v>
      </c>
      <c r="Q50" s="94">
        <f t="shared" si="16"/>
        <v>134.09575300481328</v>
      </c>
      <c r="R50" s="94">
        <f t="shared" si="17"/>
        <v>109.81979771945913</v>
      </c>
      <c r="S50" s="11"/>
      <c r="T50" s="13">
        <f>C50*$F$122</f>
        <v>41548529.569892474</v>
      </c>
      <c r="U50" s="13">
        <f t="shared" si="25"/>
        <v>1815384.6153846155</v>
      </c>
      <c r="V50" s="13">
        <v>0</v>
      </c>
      <c r="W50" s="13">
        <f>AB50*$C$135/$C$138</f>
        <v>1938461.5384615385</v>
      </c>
      <c r="X50" s="13">
        <f t="shared" si="26"/>
        <v>851771.0843373494</v>
      </c>
      <c r="Y50" s="13">
        <f t="shared" si="27"/>
        <v>46154146.808075972</v>
      </c>
      <c r="Z50" s="33">
        <f t="shared" si="28"/>
        <v>55.201706504097565</v>
      </c>
      <c r="AA50" s="5">
        <v>2950000</v>
      </c>
      <c r="AB50" s="5">
        <v>280000</v>
      </c>
      <c r="AC50" s="11"/>
      <c r="AD50" s="11"/>
      <c r="AE50" s="11"/>
    </row>
    <row r="51" spans="1:31" x14ac:dyDescent="0.25">
      <c r="A51" s="11">
        <f t="shared" si="29"/>
        <v>44</v>
      </c>
      <c r="B51" s="3" t="s">
        <v>23</v>
      </c>
      <c r="C51" s="5">
        <v>235000</v>
      </c>
      <c r="D51" s="5">
        <f t="shared" si="21"/>
        <v>469230.76923076925</v>
      </c>
      <c r="E51" s="6">
        <v>2500</v>
      </c>
      <c r="F51" s="5" t="str">
        <f>AB51</f>
        <v>(D)</v>
      </c>
      <c r="G51" s="6">
        <v>8800</v>
      </c>
      <c r="H51" s="13">
        <f t="shared" si="22"/>
        <v>715530.76923076925</v>
      </c>
      <c r="I51" s="94">
        <f t="shared" si="10"/>
        <v>64418.272261353108</v>
      </c>
      <c r="J51" s="94">
        <f t="shared" si="11"/>
        <v>97915.773837256726</v>
      </c>
      <c r="K51" s="94">
        <f t="shared" si="12"/>
        <v>136566.73719406858</v>
      </c>
      <c r="L51" s="94">
        <f t="shared" si="13"/>
        <v>1882.9956507164754</v>
      </c>
      <c r="M51" s="94">
        <f t="shared" si="14"/>
        <v>2626.2834075782421</v>
      </c>
      <c r="N51" s="94">
        <f t="shared" si="15"/>
        <v>120.62434447230119</v>
      </c>
      <c r="O51" s="96">
        <f t="shared" si="23"/>
        <v>28.949842673352286</v>
      </c>
      <c r="P51" s="97">
        <f t="shared" si="24"/>
        <v>5.0024445858633179E-2</v>
      </c>
      <c r="Q51" s="94">
        <f t="shared" si="16"/>
        <v>121.8940744141149</v>
      </c>
      <c r="R51" s="94">
        <f t="shared" si="17"/>
        <v>99.827043701214777</v>
      </c>
      <c r="S51" s="11"/>
      <c r="T51" s="13">
        <f>C51*$F$122</f>
        <v>33097981.1827957</v>
      </c>
      <c r="U51" s="13">
        <f t="shared" si="25"/>
        <v>1876923.076923077</v>
      </c>
      <c r="V51" s="13">
        <f>E51*$C$130</f>
        <v>12500</v>
      </c>
      <c r="W51" s="13">
        <v>0</v>
      </c>
      <c r="X51" s="13">
        <f t="shared" si="26"/>
        <v>6814168.6746987952</v>
      </c>
      <c r="Y51" s="13">
        <f t="shared" si="27"/>
        <v>41801572.934417568</v>
      </c>
      <c r="Z51" s="33">
        <f t="shared" si="28"/>
        <v>58.420370907817585</v>
      </c>
      <c r="AA51" s="5">
        <v>3050000</v>
      </c>
      <c r="AB51" s="5" t="s">
        <v>103</v>
      </c>
      <c r="AC51" s="11"/>
      <c r="AD51" s="11"/>
      <c r="AE51" s="11"/>
    </row>
    <row r="52" spans="1:31" x14ac:dyDescent="0.25">
      <c r="A52" s="11">
        <f t="shared" si="29"/>
        <v>45</v>
      </c>
      <c r="B52" s="3" t="s">
        <v>12</v>
      </c>
      <c r="C52" s="5" t="s">
        <v>112</v>
      </c>
      <c r="D52" s="5">
        <f t="shared" si="21"/>
        <v>484615.38461538462</v>
      </c>
      <c r="E52" s="6" t="s">
        <v>103</v>
      </c>
      <c r="F52" s="5" t="str">
        <f>AB52</f>
        <v>(D)</v>
      </c>
      <c r="G52" s="6">
        <v>12500</v>
      </c>
      <c r="H52" s="13">
        <f t="shared" si="22"/>
        <v>497115.38461538462</v>
      </c>
      <c r="I52" s="94">
        <f t="shared" si="10"/>
        <v>14787.498841519928</v>
      </c>
      <c r="J52" s="94">
        <f t="shared" si="11"/>
        <v>22476.998239110289</v>
      </c>
      <c r="K52" s="94">
        <f t="shared" si="12"/>
        <v>31349.497544022248</v>
      </c>
      <c r="L52" s="94">
        <f t="shared" si="13"/>
        <v>432.24996613673636</v>
      </c>
      <c r="M52" s="94">
        <f t="shared" si="14"/>
        <v>602.87495276965865</v>
      </c>
      <c r="N52" s="94">
        <f t="shared" si="15"/>
        <v>27.689850899856896</v>
      </c>
      <c r="O52" s="96">
        <f t="shared" si="23"/>
        <v>6.6455642159656545</v>
      </c>
      <c r="P52" s="97">
        <f t="shared" si="24"/>
        <v>1.1483332433707784E-2</v>
      </c>
      <c r="Q52" s="94">
        <f t="shared" si="16"/>
        <v>27.981323014592231</v>
      </c>
      <c r="R52" s="94">
        <f t="shared" si="17"/>
        <v>22.915738675743636</v>
      </c>
      <c r="S52" s="11"/>
      <c r="T52" s="13">
        <v>0</v>
      </c>
      <c r="U52" s="13">
        <f t="shared" si="25"/>
        <v>1938461.5384615385</v>
      </c>
      <c r="V52" s="13">
        <v>0</v>
      </c>
      <c r="W52" s="13">
        <v>0</v>
      </c>
      <c r="X52" s="13">
        <f t="shared" si="26"/>
        <v>9679216.8674698807</v>
      </c>
      <c r="Y52" s="13">
        <f t="shared" si="27"/>
        <v>11617678.405931419</v>
      </c>
      <c r="Z52" s="33">
        <f t="shared" si="28"/>
        <v>23.370184801099953</v>
      </c>
      <c r="AA52" s="5">
        <v>3150000</v>
      </c>
      <c r="AB52" s="5" t="s">
        <v>103</v>
      </c>
      <c r="AC52" s="11"/>
      <c r="AD52" s="11"/>
      <c r="AE52" s="11"/>
    </row>
    <row r="53" spans="1:31" x14ac:dyDescent="0.25">
      <c r="A53" s="11">
        <f t="shared" si="29"/>
        <v>46</v>
      </c>
      <c r="B53" s="3" t="s">
        <v>48</v>
      </c>
      <c r="C53" s="5" t="s">
        <v>112</v>
      </c>
      <c r="D53" s="5">
        <f t="shared" si="21"/>
        <v>292307.69230769231</v>
      </c>
      <c r="E53" s="6">
        <v>1150000</v>
      </c>
      <c r="F53" s="5" t="str">
        <f>AB53</f>
        <v>*</v>
      </c>
      <c r="G53" s="6">
        <v>49500</v>
      </c>
      <c r="H53" s="13">
        <f t="shared" si="22"/>
        <v>1491807.6923076923</v>
      </c>
      <c r="I53" s="94">
        <f t="shared" si="10"/>
        <v>80259.956950880442</v>
      </c>
      <c r="J53" s="94">
        <f t="shared" si="11"/>
        <v>121995.13456533827</v>
      </c>
      <c r="K53" s="94">
        <f t="shared" si="12"/>
        <v>170151.10873586655</v>
      </c>
      <c r="L53" s="94">
        <f t="shared" si="13"/>
        <v>2346.0602801026589</v>
      </c>
      <c r="M53" s="94">
        <f t="shared" si="14"/>
        <v>3272.1367064589722</v>
      </c>
      <c r="N53" s="94">
        <f t="shared" si="15"/>
        <v>150.2881768591493</v>
      </c>
      <c r="O53" s="96">
        <f t="shared" si="23"/>
        <v>36.069162446195833</v>
      </c>
      <c r="P53" s="97">
        <f t="shared" si="24"/>
        <v>6.2326413456361376E-2</v>
      </c>
      <c r="Q53" s="94">
        <f t="shared" si="16"/>
        <v>151.870157668193</v>
      </c>
      <c r="R53" s="94">
        <f t="shared" si="17"/>
        <v>124.37642222826149</v>
      </c>
      <c r="S53" s="11"/>
      <c r="T53" s="13">
        <v>0</v>
      </c>
      <c r="U53" s="13">
        <f t="shared" si="25"/>
        <v>1169230.7692307692</v>
      </c>
      <c r="V53" s="13">
        <f>E53*$C$130</f>
        <v>5750000</v>
      </c>
      <c r="W53" s="13">
        <v>0</v>
      </c>
      <c r="X53" s="13">
        <f t="shared" si="26"/>
        <v>38329698.795180723</v>
      </c>
      <c r="Y53" s="13">
        <f t="shared" si="27"/>
        <v>45248929.564411491</v>
      </c>
      <c r="Z53" s="33">
        <f t="shared" si="28"/>
        <v>30.33161029919042</v>
      </c>
      <c r="AA53" s="5">
        <v>1900000</v>
      </c>
      <c r="AB53" s="5" t="s">
        <v>102</v>
      </c>
      <c r="AC53" s="11"/>
      <c r="AD53" s="11"/>
      <c r="AE53" s="11"/>
    </row>
    <row r="54" spans="1:31" x14ac:dyDescent="0.25">
      <c r="A54" s="11">
        <f t="shared" si="29"/>
        <v>47</v>
      </c>
      <c r="B54" s="3" t="s">
        <v>25</v>
      </c>
      <c r="C54" s="5">
        <v>100000</v>
      </c>
      <c r="D54" s="5">
        <f t="shared" si="21"/>
        <v>330769.23076923075</v>
      </c>
      <c r="E54" s="6" t="s">
        <v>102</v>
      </c>
      <c r="F54" s="5">
        <f>AB54/$C$138</f>
        <v>196923.07692307694</v>
      </c>
      <c r="G54" s="6">
        <v>2900</v>
      </c>
      <c r="H54" s="13">
        <f t="shared" si="22"/>
        <v>630592.30769230775</v>
      </c>
      <c r="I54" s="94">
        <f t="shared" si="10"/>
        <v>29769.684346617236</v>
      </c>
      <c r="J54" s="94">
        <f t="shared" si="11"/>
        <v>45249.920206858202</v>
      </c>
      <c r="K54" s="94">
        <f t="shared" si="12"/>
        <v>63111.730814828545</v>
      </c>
      <c r="L54" s="94">
        <f t="shared" si="13"/>
        <v>870.19077320881161</v>
      </c>
      <c r="M54" s="94">
        <f t="shared" si="14"/>
        <v>1213.6871310543952</v>
      </c>
      <c r="N54" s="94">
        <f t="shared" si="15"/>
        <v>55.744255991360589</v>
      </c>
      <c r="O54" s="96">
        <f t="shared" si="23"/>
        <v>13.378621437926542</v>
      </c>
      <c r="P54" s="97">
        <f t="shared" si="24"/>
        <v>2.3117850115321813E-2</v>
      </c>
      <c r="Q54" s="94">
        <f t="shared" si="16"/>
        <v>56.331037633374912</v>
      </c>
      <c r="R54" s="94">
        <f t="shared" si="17"/>
        <v>46.133177372160489</v>
      </c>
      <c r="S54" s="11"/>
      <c r="T54" s="13">
        <f>C54*$F$122</f>
        <v>14084247.311827958</v>
      </c>
      <c r="U54" s="13">
        <f t="shared" si="25"/>
        <v>1323076.923076923</v>
      </c>
      <c r="V54" s="13">
        <v>0</v>
      </c>
      <c r="W54" s="13">
        <f>AB54*$C$135/$C$138</f>
        <v>4430769.230769231</v>
      </c>
      <c r="X54" s="13">
        <f t="shared" si="26"/>
        <v>2245578.313253012</v>
      </c>
      <c r="Y54" s="13">
        <f t="shared" si="27"/>
        <v>22083671.778927125</v>
      </c>
      <c r="Z54" s="33">
        <f t="shared" si="28"/>
        <v>35.020521991052682</v>
      </c>
      <c r="AA54" s="5">
        <v>2150000</v>
      </c>
      <c r="AB54" s="5">
        <v>640000</v>
      </c>
      <c r="AC54" s="11"/>
      <c r="AD54" s="11"/>
      <c r="AE54" s="11"/>
    </row>
    <row r="55" spans="1:31" x14ac:dyDescent="0.25">
      <c r="A55" s="11">
        <f t="shared" si="29"/>
        <v>48</v>
      </c>
      <c r="B55" s="3" t="s">
        <v>20</v>
      </c>
      <c r="C55" s="5">
        <v>4800</v>
      </c>
      <c r="D55" s="5">
        <f t="shared" si="21"/>
        <v>407692.30769230769</v>
      </c>
      <c r="E55" s="6" t="s">
        <v>102</v>
      </c>
      <c r="F55" s="5" t="str">
        <f t="shared" ref="F55:F86" si="30">AB55</f>
        <v>*</v>
      </c>
      <c r="G55" s="6">
        <v>1300</v>
      </c>
      <c r="H55" s="13">
        <f t="shared" si="22"/>
        <v>413792.30769230769</v>
      </c>
      <c r="I55" s="94">
        <f t="shared" si="10"/>
        <v>3349.2844949026876</v>
      </c>
      <c r="J55" s="94">
        <f t="shared" si="11"/>
        <v>5090.9124322520856</v>
      </c>
      <c r="K55" s="94">
        <f t="shared" si="12"/>
        <v>7100.483129193698</v>
      </c>
      <c r="L55" s="94">
        <f t="shared" si="13"/>
        <v>97.902162158693955</v>
      </c>
      <c r="M55" s="94">
        <f t="shared" si="14"/>
        <v>136.5477524844942</v>
      </c>
      <c r="N55" s="94">
        <f t="shared" si="15"/>
        <v>6.2715939510109582</v>
      </c>
      <c r="O55" s="96">
        <f t="shared" si="23"/>
        <v>1.5051825482426298</v>
      </c>
      <c r="P55" s="97">
        <f t="shared" si="24"/>
        <v>2.600909571133223E-3</v>
      </c>
      <c r="Q55" s="94">
        <f t="shared" si="16"/>
        <v>6.3376107294426527</v>
      </c>
      <c r="R55" s="94">
        <f t="shared" si="17"/>
        <v>5.1902846491125167</v>
      </c>
      <c r="S55" s="11"/>
      <c r="T55" s="13">
        <f>C55*$F$122</f>
        <v>676043.87096774194</v>
      </c>
      <c r="U55" s="13">
        <f t="shared" si="25"/>
        <v>1630769.2307692308</v>
      </c>
      <c r="V55" s="13">
        <v>0</v>
      </c>
      <c r="W55" s="13">
        <v>0</v>
      </c>
      <c r="X55" s="13">
        <f t="shared" si="26"/>
        <v>1006638.5542168675</v>
      </c>
      <c r="Y55" s="13">
        <f t="shared" si="27"/>
        <v>3313451.6559538404</v>
      </c>
      <c r="Z55" s="33">
        <f t="shared" si="28"/>
        <v>8.0075235676388985</v>
      </c>
      <c r="AA55" s="5">
        <v>2650000</v>
      </c>
      <c r="AB55" s="5" t="s">
        <v>102</v>
      </c>
      <c r="AC55" s="11"/>
      <c r="AD55" s="11"/>
      <c r="AE55" s="11"/>
    </row>
    <row r="56" spans="1:31" x14ac:dyDescent="0.25">
      <c r="A56" s="11">
        <f t="shared" si="29"/>
        <v>49</v>
      </c>
      <c r="B56" s="3" t="s">
        <v>58</v>
      </c>
      <c r="C56" s="5" t="s">
        <v>112</v>
      </c>
      <c r="D56" s="5">
        <f t="shared" si="21"/>
        <v>407692.30769230769</v>
      </c>
      <c r="E56" s="6" t="s">
        <v>102</v>
      </c>
      <c r="F56" s="5" t="str">
        <f t="shared" si="30"/>
        <v>*</v>
      </c>
      <c r="G56" s="6">
        <v>800</v>
      </c>
      <c r="H56" s="13">
        <f t="shared" si="22"/>
        <v>408492.30769230769</v>
      </c>
      <c r="I56" s="94">
        <f t="shared" si="10"/>
        <v>1699.7537720111213</v>
      </c>
      <c r="J56" s="94">
        <f t="shared" si="11"/>
        <v>2583.6257334569045</v>
      </c>
      <c r="K56" s="94">
        <f t="shared" si="12"/>
        <v>3603.4779966635774</v>
      </c>
      <c r="L56" s="94">
        <f t="shared" si="13"/>
        <v>49.685110258786622</v>
      </c>
      <c r="M56" s="94">
        <f t="shared" si="14"/>
        <v>69.297653781991869</v>
      </c>
      <c r="N56" s="94">
        <f t="shared" si="15"/>
        <v>3.1828187456087496</v>
      </c>
      <c r="O56" s="96">
        <f t="shared" si="23"/>
        <v>0.76387649894609988</v>
      </c>
      <c r="P56" s="97">
        <f t="shared" si="24"/>
        <v>1.3199553101331785E-3</v>
      </c>
      <c r="Q56" s="94">
        <f t="shared" si="16"/>
        <v>3.2163221008256837</v>
      </c>
      <c r="R56" s="94">
        <f t="shared" si="17"/>
        <v>2.6340568929175858</v>
      </c>
      <c r="S56" s="11"/>
      <c r="T56" s="13">
        <v>0</v>
      </c>
      <c r="U56" s="13">
        <f t="shared" si="25"/>
        <v>1630769.2307692308</v>
      </c>
      <c r="V56" s="13">
        <v>0</v>
      </c>
      <c r="W56" s="13">
        <v>0</v>
      </c>
      <c r="X56" s="13">
        <f t="shared" si="26"/>
        <v>619469.87951807235</v>
      </c>
      <c r="Y56" s="13">
        <f t="shared" si="27"/>
        <v>2250239.1102873031</v>
      </c>
      <c r="Z56" s="33">
        <f t="shared" si="28"/>
        <v>5.5086450048461399</v>
      </c>
      <c r="AA56" s="5">
        <v>2650000</v>
      </c>
      <c r="AB56" s="5" t="s">
        <v>102</v>
      </c>
      <c r="AC56" s="11"/>
      <c r="AD56" s="11"/>
      <c r="AE56" s="11"/>
    </row>
    <row r="57" spans="1:31" x14ac:dyDescent="0.25">
      <c r="A57" s="11">
        <f t="shared" si="29"/>
        <v>50</v>
      </c>
      <c r="B57" s="3" t="s">
        <v>35</v>
      </c>
      <c r="C57" s="5">
        <v>400</v>
      </c>
      <c r="D57" s="5">
        <f t="shared" si="21"/>
        <v>346153.84615384613</v>
      </c>
      <c r="E57" s="6">
        <v>19500</v>
      </c>
      <c r="F57" s="5" t="str">
        <f t="shared" si="30"/>
        <v>*</v>
      </c>
      <c r="G57" s="6">
        <v>7600</v>
      </c>
      <c r="H57" s="13">
        <f t="shared" si="22"/>
        <v>373653.84615384613</v>
      </c>
      <c r="I57" s="94">
        <f t="shared" si="10"/>
        <v>9608.3646802595013</v>
      </c>
      <c r="J57" s="94">
        <f t="shared" si="11"/>
        <v>14604.714313994442</v>
      </c>
      <c r="K57" s="94">
        <f t="shared" si="12"/>
        <v>20369.733122150144</v>
      </c>
      <c r="L57" s="94">
        <f t="shared" si="13"/>
        <v>280.85989065373928</v>
      </c>
      <c r="M57" s="94">
        <f t="shared" si="14"/>
        <v>391.72563696442586</v>
      </c>
      <c r="N57" s="94">
        <f t="shared" si="15"/>
        <v>17.991831359662882</v>
      </c>
      <c r="O57" s="96">
        <f t="shared" si="23"/>
        <v>4.3180395263190912</v>
      </c>
      <c r="P57" s="97">
        <f t="shared" si="24"/>
        <v>7.4614407040843019E-3</v>
      </c>
      <c r="Q57" s="94">
        <f t="shared" si="16"/>
        <v>18.181219058185647</v>
      </c>
      <c r="R57" s="94">
        <f t="shared" si="17"/>
        <v>14.889791470065832</v>
      </c>
      <c r="S57" s="11"/>
      <c r="T57" s="13">
        <f>C57*$F$122</f>
        <v>56336.989247311831</v>
      </c>
      <c r="U57" s="13">
        <f t="shared" si="25"/>
        <v>1384615.3846153845</v>
      </c>
      <c r="V57" s="13">
        <f>E57*$C$130</f>
        <v>97500</v>
      </c>
      <c r="W57" s="13">
        <v>0</v>
      </c>
      <c r="X57" s="13">
        <f t="shared" si="26"/>
        <v>5884963.8554216875</v>
      </c>
      <c r="Y57" s="13">
        <f t="shared" si="27"/>
        <v>7423416.2292843834</v>
      </c>
      <c r="Z57" s="33">
        <f t="shared" si="28"/>
        <v>19.867094386144515</v>
      </c>
      <c r="AA57" s="5">
        <v>2250000</v>
      </c>
      <c r="AB57" s="5" t="s">
        <v>102</v>
      </c>
      <c r="AC57" s="11"/>
      <c r="AD57" s="11"/>
      <c r="AE57" s="11"/>
    </row>
    <row r="58" spans="1:31" x14ac:dyDescent="0.25">
      <c r="A58" s="11">
        <f t="shared" si="29"/>
        <v>51</v>
      </c>
      <c r="B58" s="3" t="s">
        <v>34</v>
      </c>
      <c r="C58" s="5">
        <v>29000</v>
      </c>
      <c r="D58" s="5">
        <f t="shared" si="21"/>
        <v>269230.76923076925</v>
      </c>
      <c r="E58" s="6" t="s">
        <v>103</v>
      </c>
      <c r="F58" s="5" t="str">
        <f t="shared" si="30"/>
        <v>*</v>
      </c>
      <c r="G58" s="6">
        <v>16000</v>
      </c>
      <c r="H58" s="13">
        <f t="shared" si="22"/>
        <v>314230.76923076925</v>
      </c>
      <c r="I58" s="94">
        <f t="shared" si="10"/>
        <v>24852.344670991661</v>
      </c>
      <c r="J58" s="94">
        <f t="shared" si="11"/>
        <v>37775.563899907327</v>
      </c>
      <c r="K58" s="94">
        <f t="shared" si="12"/>
        <v>52686.970702502324</v>
      </c>
      <c r="L58" s="94">
        <f t="shared" si="13"/>
        <v>726.45315192129476</v>
      </c>
      <c r="M58" s="94">
        <f t="shared" si="14"/>
        <v>1013.2109750481216</v>
      </c>
      <c r="N58" s="94">
        <f t="shared" si="15"/>
        <v>46.536451216443851</v>
      </c>
      <c r="O58" s="96">
        <f t="shared" si="23"/>
        <v>11.168748291946525</v>
      </c>
      <c r="P58" s="97">
        <f t="shared" si="24"/>
        <v>1.9299256667583267E-2</v>
      </c>
      <c r="Q58" s="94">
        <f t="shared" si="16"/>
        <v>47.026308597669576</v>
      </c>
      <c r="R58" s="94">
        <f t="shared" si="17"/>
        <v>38.512925144643184</v>
      </c>
      <c r="S58" s="11"/>
      <c r="T58" s="13">
        <f>C58*$F$122</f>
        <v>4084431.7204301078</v>
      </c>
      <c r="U58" s="13">
        <f t="shared" si="25"/>
        <v>1076923.076923077</v>
      </c>
      <c r="V58" s="13">
        <v>0</v>
      </c>
      <c r="W58" s="13">
        <v>0</v>
      </c>
      <c r="X58" s="13">
        <f t="shared" si="26"/>
        <v>12389397.590361446</v>
      </c>
      <c r="Y58" s="13">
        <f t="shared" si="27"/>
        <v>17550752.387714632</v>
      </c>
      <c r="Z58" s="33">
        <f t="shared" si="28"/>
        <v>55.853067574122448</v>
      </c>
      <c r="AA58" s="5">
        <v>1750000</v>
      </c>
      <c r="AB58" s="5" t="s">
        <v>102</v>
      </c>
      <c r="AC58" s="11"/>
      <c r="AD58" s="11"/>
      <c r="AE58" s="11"/>
    </row>
    <row r="59" spans="1:31" x14ac:dyDescent="0.25">
      <c r="A59" s="11">
        <f t="shared" si="29"/>
        <v>52</v>
      </c>
      <c r="B59" s="3" t="s">
        <v>13</v>
      </c>
      <c r="C59" s="5" t="s">
        <v>112</v>
      </c>
      <c r="D59" s="5">
        <f t="shared" si="21"/>
        <v>200000</v>
      </c>
      <c r="E59" s="6" t="s">
        <v>103</v>
      </c>
      <c r="F59" s="5" t="str">
        <f t="shared" si="30"/>
        <v>*</v>
      </c>
      <c r="G59" s="6">
        <v>5400</v>
      </c>
      <c r="H59" s="13">
        <f t="shared" si="22"/>
        <v>205400</v>
      </c>
      <c r="I59" s="94">
        <f t="shared" si="10"/>
        <v>6369.4918072289165</v>
      </c>
      <c r="J59" s="94">
        <f t="shared" si="11"/>
        <v>9681.6275469879529</v>
      </c>
      <c r="K59" s="94">
        <f t="shared" si="12"/>
        <v>13503.322631325304</v>
      </c>
      <c r="L59" s="94">
        <f t="shared" si="13"/>
        <v>186.1851451343837</v>
      </c>
      <c r="M59" s="94">
        <f t="shared" si="14"/>
        <v>259.67928137164046</v>
      </c>
      <c r="N59" s="94">
        <f t="shared" si="15"/>
        <v>11.926985106826935</v>
      </c>
      <c r="O59" s="96">
        <f t="shared" si="23"/>
        <v>2.8624764256384641</v>
      </c>
      <c r="P59" s="97">
        <f t="shared" si="24"/>
        <v>4.9462720261264845E-3</v>
      </c>
      <c r="Q59" s="94">
        <f t="shared" si="16"/>
        <v>12.052532318477745</v>
      </c>
      <c r="R59" s="94">
        <f t="shared" si="17"/>
        <v>9.8706083642705664</v>
      </c>
      <c r="S59" s="11"/>
      <c r="T59" s="13">
        <v>0</v>
      </c>
      <c r="U59" s="13">
        <f t="shared" si="25"/>
        <v>800000</v>
      </c>
      <c r="V59" s="13">
        <v>0</v>
      </c>
      <c r="W59" s="13">
        <v>0</v>
      </c>
      <c r="X59" s="13">
        <f t="shared" si="26"/>
        <v>4181421.686746988</v>
      </c>
      <c r="Y59" s="13">
        <f t="shared" si="27"/>
        <v>4981421.6867469884</v>
      </c>
      <c r="Z59" s="33">
        <f t="shared" si="28"/>
        <v>24.252296430121657</v>
      </c>
      <c r="AA59" s="5">
        <v>1300000</v>
      </c>
      <c r="AB59" s="5" t="s">
        <v>102</v>
      </c>
      <c r="AC59" s="11"/>
      <c r="AD59" s="11"/>
      <c r="AE59" s="11"/>
    </row>
    <row r="60" spans="1:31" x14ac:dyDescent="0.25">
      <c r="A60" s="11">
        <f t="shared" si="29"/>
        <v>53</v>
      </c>
      <c r="B60" s="3" t="s">
        <v>55</v>
      </c>
      <c r="C60" s="5" t="s">
        <v>112</v>
      </c>
      <c r="D60" s="5">
        <f t="shared" si="21"/>
        <v>153846.15384615384</v>
      </c>
      <c r="E60" s="6">
        <v>81000</v>
      </c>
      <c r="F60" s="5" t="str">
        <f t="shared" si="30"/>
        <v>*</v>
      </c>
      <c r="G60" s="6">
        <v>2500</v>
      </c>
      <c r="H60" s="13">
        <f t="shared" si="22"/>
        <v>237346.15384615384</v>
      </c>
      <c r="I60" s="94">
        <f t="shared" si="10"/>
        <v>4829.0459221501396</v>
      </c>
      <c r="J60" s="94">
        <f t="shared" si="11"/>
        <v>7340.1498016682126</v>
      </c>
      <c r="K60" s="94">
        <f t="shared" si="12"/>
        <v>10237.577354958297</v>
      </c>
      <c r="L60" s="94">
        <f t="shared" si="13"/>
        <v>141.15672695515792</v>
      </c>
      <c r="M60" s="94">
        <f t="shared" si="14"/>
        <v>196.87648759535188</v>
      </c>
      <c r="N60" s="94">
        <f t="shared" si="15"/>
        <v>9.0424731731816941</v>
      </c>
      <c r="O60" s="96">
        <f t="shared" si="23"/>
        <v>2.1701935615636065</v>
      </c>
      <c r="P60" s="97">
        <f t="shared" si="24"/>
        <v>3.7500283351495594E-3</v>
      </c>
      <c r="Q60" s="94">
        <f t="shared" si="16"/>
        <v>9.1376571013204479</v>
      </c>
      <c r="R60" s="94">
        <f t="shared" si="17"/>
        <v>7.4834260743572631</v>
      </c>
      <c r="S60" s="11"/>
      <c r="T60" s="13">
        <v>0</v>
      </c>
      <c r="U60" s="13">
        <f t="shared" si="25"/>
        <v>615384.61538461538</v>
      </c>
      <c r="V60" s="13">
        <f t="shared" ref="V60:V67" si="31">E60*$C$130</f>
        <v>405000</v>
      </c>
      <c r="W60" s="13">
        <v>0</v>
      </c>
      <c r="X60" s="13">
        <f t="shared" si="26"/>
        <v>1935843.373493976</v>
      </c>
      <c r="Y60" s="13">
        <f t="shared" si="27"/>
        <v>2956227.9888785915</v>
      </c>
      <c r="Z60" s="33">
        <f t="shared" si="28"/>
        <v>12.455343981663162</v>
      </c>
      <c r="AA60" s="5">
        <v>1000000</v>
      </c>
      <c r="AB60" s="5" t="s">
        <v>102</v>
      </c>
      <c r="AC60" s="11"/>
      <c r="AD60" s="11"/>
      <c r="AE60" s="11"/>
    </row>
    <row r="61" spans="1:31" x14ac:dyDescent="0.25">
      <c r="A61" s="11">
        <f t="shared" si="29"/>
        <v>54</v>
      </c>
      <c r="B61" s="3" t="s">
        <v>0</v>
      </c>
      <c r="C61" s="5" t="s">
        <v>112</v>
      </c>
      <c r="D61" s="5">
        <f t="shared" si="21"/>
        <v>101538.46153846153</v>
      </c>
      <c r="E61" s="6">
        <v>165000</v>
      </c>
      <c r="F61" s="5" t="str">
        <f t="shared" si="30"/>
        <v>*</v>
      </c>
      <c r="G61" s="6">
        <v>17500</v>
      </c>
      <c r="H61" s="13">
        <f t="shared" si="22"/>
        <v>284038.4615384615</v>
      </c>
      <c r="I61" s="94">
        <f t="shared" si="10"/>
        <v>23129.152224281745</v>
      </c>
      <c r="J61" s="94">
        <f t="shared" si="11"/>
        <v>35156.31138090825</v>
      </c>
      <c r="K61" s="94">
        <f t="shared" si="12"/>
        <v>49033.802715477301</v>
      </c>
      <c r="L61" s="94">
        <f t="shared" si="13"/>
        <v>676.0829111713125</v>
      </c>
      <c r="M61" s="94">
        <f t="shared" si="14"/>
        <v>942.95774452840965</v>
      </c>
      <c r="N61" s="94">
        <f t="shared" si="15"/>
        <v>43.309743141432243</v>
      </c>
      <c r="O61" s="96">
        <f t="shared" si="23"/>
        <v>10.394338353943738</v>
      </c>
      <c r="P61" s="97">
        <f t="shared" si="24"/>
        <v>1.796109989577923E-2</v>
      </c>
      <c r="Q61" s="94">
        <f t="shared" si="16"/>
        <v>43.765635174499955</v>
      </c>
      <c r="R61" s="94">
        <f t="shared" si="17"/>
        <v>35.842546048081857</v>
      </c>
      <c r="S61" s="11"/>
      <c r="T61" s="13">
        <v>0</v>
      </c>
      <c r="U61" s="13">
        <f t="shared" si="25"/>
        <v>406153.84615384613</v>
      </c>
      <c r="V61" s="13">
        <f t="shared" si="31"/>
        <v>825000</v>
      </c>
      <c r="W61" s="13">
        <v>0</v>
      </c>
      <c r="X61" s="13">
        <f t="shared" si="26"/>
        <v>13550903.614457833</v>
      </c>
      <c r="Y61" s="13">
        <f t="shared" si="27"/>
        <v>14782057.460611679</v>
      </c>
      <c r="Z61" s="33">
        <f t="shared" si="28"/>
        <v>52.042450098294339</v>
      </c>
      <c r="AA61" s="5">
        <v>660000</v>
      </c>
      <c r="AB61" s="5" t="s">
        <v>102</v>
      </c>
      <c r="AC61" s="11"/>
      <c r="AD61" s="11"/>
      <c r="AE61" s="11"/>
    </row>
    <row r="62" spans="1:31" x14ac:dyDescent="0.25">
      <c r="A62" s="11">
        <f t="shared" si="29"/>
        <v>55</v>
      </c>
      <c r="B62" s="3" t="s">
        <v>40</v>
      </c>
      <c r="C62" s="5">
        <v>4000</v>
      </c>
      <c r="D62" s="5" t="str">
        <f>AA62</f>
        <v>(D)</v>
      </c>
      <c r="E62" s="6">
        <v>355000</v>
      </c>
      <c r="F62" s="5" t="str">
        <f t="shared" si="30"/>
        <v>*</v>
      </c>
      <c r="G62" s="6">
        <v>14500</v>
      </c>
      <c r="H62" s="13">
        <f t="shared" si="22"/>
        <v>373500</v>
      </c>
      <c r="I62" s="94">
        <f t="shared" si="10"/>
        <v>24646.690963855424</v>
      </c>
      <c r="J62" s="94">
        <f t="shared" si="11"/>
        <v>37462.970265060248</v>
      </c>
      <c r="K62" s="94">
        <f t="shared" si="12"/>
        <v>52250.984843373502</v>
      </c>
      <c r="L62" s="94">
        <f t="shared" si="13"/>
        <v>720.44173586654324</v>
      </c>
      <c r="M62" s="94">
        <f t="shared" si="14"/>
        <v>1004.8266316033366</v>
      </c>
      <c r="N62" s="94">
        <f t="shared" si="15"/>
        <v>46.151361043410922</v>
      </c>
      <c r="O62" s="96">
        <f t="shared" si="23"/>
        <v>11.07632665041862</v>
      </c>
      <c r="P62" s="97">
        <f t="shared" si="24"/>
        <v>1.9139554887682604E-2</v>
      </c>
      <c r="Q62" s="94">
        <f t="shared" si="16"/>
        <v>46.637164843867879</v>
      </c>
      <c r="R62" s="94">
        <f t="shared" si="17"/>
        <v>38.19422982902973</v>
      </c>
      <c r="S62" s="11"/>
      <c r="T62" s="13">
        <f>C62*$F$122</f>
        <v>563369.89247311826</v>
      </c>
      <c r="U62" s="13">
        <v>0</v>
      </c>
      <c r="V62" s="13">
        <f t="shared" si="31"/>
        <v>1775000</v>
      </c>
      <c r="W62" s="13">
        <v>0</v>
      </c>
      <c r="X62" s="13">
        <f t="shared" si="26"/>
        <v>11227891.566265061</v>
      </c>
      <c r="Y62" s="13">
        <f t="shared" si="27"/>
        <v>13566261.45873818</v>
      </c>
      <c r="Z62" s="33">
        <f t="shared" si="28"/>
        <v>36.321985163957642</v>
      </c>
      <c r="AA62" s="5" t="s">
        <v>103</v>
      </c>
      <c r="AB62" s="5" t="s">
        <v>102</v>
      </c>
      <c r="AC62" s="11"/>
      <c r="AD62" s="11"/>
      <c r="AE62" s="11"/>
    </row>
    <row r="63" spans="1:31" x14ac:dyDescent="0.25">
      <c r="A63" s="11">
        <f t="shared" si="29"/>
        <v>56</v>
      </c>
      <c r="B63" s="3" t="s">
        <v>84</v>
      </c>
      <c r="C63" s="5" t="s">
        <v>112</v>
      </c>
      <c r="D63" s="5" t="str">
        <f>AA63</f>
        <v>*</v>
      </c>
      <c r="E63" s="6">
        <v>300000</v>
      </c>
      <c r="F63" s="5" t="str">
        <f t="shared" si="30"/>
        <v>*</v>
      </c>
      <c r="G63" s="6">
        <v>13000</v>
      </c>
      <c r="H63" s="13">
        <f t="shared" si="22"/>
        <v>313000</v>
      </c>
      <c r="I63" s="94">
        <f t="shared" si="10"/>
        <v>20880.998795180727</v>
      </c>
      <c r="J63" s="94">
        <f t="shared" si="11"/>
        <v>31739.118168674704</v>
      </c>
      <c r="K63" s="94">
        <f t="shared" si="12"/>
        <v>44267.717445783142</v>
      </c>
      <c r="L63" s="94">
        <f t="shared" si="13"/>
        <v>610.3676570898981</v>
      </c>
      <c r="M63" s="94">
        <f t="shared" si="14"/>
        <v>851.30225857275275</v>
      </c>
      <c r="N63" s="94">
        <f t="shared" si="15"/>
        <v>39.100036420981148</v>
      </c>
      <c r="O63" s="96">
        <f t="shared" si="23"/>
        <v>9.3840087410354762</v>
      </c>
      <c r="P63" s="97">
        <f t="shared" si="24"/>
        <v>1.6215281115671481E-2</v>
      </c>
      <c r="Q63" s="94">
        <f t="shared" si="16"/>
        <v>39.511615751728321</v>
      </c>
      <c r="R63" s="94">
        <f t="shared" si="17"/>
        <v>32.358650831156815</v>
      </c>
      <c r="S63" s="11"/>
      <c r="T63" s="13">
        <v>0</v>
      </c>
      <c r="U63" s="13">
        <v>0</v>
      </c>
      <c r="V63" s="13">
        <f t="shared" si="31"/>
        <v>1500000</v>
      </c>
      <c r="W63" s="13">
        <v>0</v>
      </c>
      <c r="X63" s="13">
        <f t="shared" si="26"/>
        <v>10066385.542168675</v>
      </c>
      <c r="Y63" s="13">
        <f t="shared" si="27"/>
        <v>11566385.542168675</v>
      </c>
      <c r="Z63" s="33">
        <f t="shared" si="28"/>
        <v>36.953308441433464</v>
      </c>
      <c r="AA63" s="5" t="s">
        <v>102</v>
      </c>
      <c r="AB63" s="5" t="s">
        <v>102</v>
      </c>
      <c r="AC63" s="11"/>
      <c r="AD63" s="11"/>
      <c r="AE63" s="11"/>
    </row>
    <row r="64" spans="1:31" x14ac:dyDescent="0.25">
      <c r="A64" s="11">
        <f t="shared" si="29"/>
        <v>57</v>
      </c>
      <c r="B64" s="3" t="s">
        <v>16</v>
      </c>
      <c r="C64" s="5" t="s">
        <v>112</v>
      </c>
      <c r="D64" s="5" t="str">
        <f>AA64</f>
        <v>*</v>
      </c>
      <c r="E64" s="6">
        <v>280000</v>
      </c>
      <c r="F64" s="5" t="str">
        <f t="shared" si="30"/>
        <v>*</v>
      </c>
      <c r="G64" s="6">
        <v>8800</v>
      </c>
      <c r="H64" s="13">
        <f t="shared" si="22"/>
        <v>288800</v>
      </c>
      <c r="I64" s="94">
        <f t="shared" si="10"/>
        <v>15804.060722891567</v>
      </c>
      <c r="J64" s="94">
        <f t="shared" si="11"/>
        <v>24022.172298795183</v>
      </c>
      <c r="K64" s="94">
        <f t="shared" si="12"/>
        <v>33504.608732530127</v>
      </c>
      <c r="L64" s="94">
        <f t="shared" si="13"/>
        <v>461.96485189990739</v>
      </c>
      <c r="M64" s="94">
        <f t="shared" si="14"/>
        <v>644.31939870250244</v>
      </c>
      <c r="N64" s="94">
        <f t="shared" si="15"/>
        <v>29.593380849534679</v>
      </c>
      <c r="O64" s="96">
        <f t="shared" si="23"/>
        <v>7.1024114038883228</v>
      </c>
      <c r="P64" s="97">
        <f t="shared" si="24"/>
        <v>1.2272750451476237E-2</v>
      </c>
      <c r="Q64" s="94">
        <f t="shared" si="16"/>
        <v>29.904890121635045</v>
      </c>
      <c r="R64" s="94">
        <f t="shared" si="17"/>
        <v>24.491073806511459</v>
      </c>
      <c r="S64" s="11"/>
      <c r="T64" s="13">
        <v>0</v>
      </c>
      <c r="U64" s="13">
        <v>0</v>
      </c>
      <c r="V64" s="13">
        <f t="shared" si="31"/>
        <v>1400000</v>
      </c>
      <c r="W64" s="13">
        <v>0</v>
      </c>
      <c r="X64" s="13">
        <f t="shared" si="26"/>
        <v>6814168.6746987952</v>
      </c>
      <c r="Y64" s="13">
        <f t="shared" si="27"/>
        <v>8214168.6746987952</v>
      </c>
      <c r="Z64" s="33">
        <f t="shared" si="28"/>
        <v>28.442412308513834</v>
      </c>
      <c r="AA64" s="5" t="s">
        <v>102</v>
      </c>
      <c r="AB64" s="5" t="s">
        <v>102</v>
      </c>
      <c r="AC64" s="11"/>
      <c r="AD64" s="11"/>
      <c r="AE64" s="11"/>
    </row>
    <row r="65" spans="1:31" x14ac:dyDescent="0.25">
      <c r="A65" s="11">
        <f t="shared" si="29"/>
        <v>58</v>
      </c>
      <c r="B65" s="3" t="s">
        <v>67</v>
      </c>
      <c r="C65" s="5">
        <v>4500</v>
      </c>
      <c r="D65" s="5">
        <f>AA65/$C$127</f>
        <v>2200</v>
      </c>
      <c r="E65" s="6">
        <v>165000</v>
      </c>
      <c r="F65" s="5" t="str">
        <f t="shared" si="30"/>
        <v>*</v>
      </c>
      <c r="G65" s="6">
        <v>10000</v>
      </c>
      <c r="H65" s="13">
        <f t="shared" si="22"/>
        <v>181700</v>
      </c>
      <c r="I65" s="94">
        <f t="shared" si="10"/>
        <v>15667.764457831327</v>
      </c>
      <c r="J65" s="94">
        <f t="shared" si="11"/>
        <v>23815.001975903615</v>
      </c>
      <c r="K65" s="94">
        <f t="shared" si="12"/>
        <v>33215.660650602411</v>
      </c>
      <c r="L65" s="94">
        <f t="shared" si="13"/>
        <v>457.98080722891569</v>
      </c>
      <c r="M65" s="94">
        <f t="shared" si="14"/>
        <v>638.76270481927713</v>
      </c>
      <c r="N65" s="94">
        <f t="shared" si="15"/>
        <v>29.338163703067089</v>
      </c>
      <c r="O65" s="96">
        <f t="shared" si="23"/>
        <v>7.0411592887361012</v>
      </c>
      <c r="P65" s="97">
        <f t="shared" si="24"/>
        <v>1.2166908663224327E-2</v>
      </c>
      <c r="Q65" s="94">
        <f t="shared" si="16"/>
        <v>29.646986478888849</v>
      </c>
      <c r="R65" s="94">
        <f t="shared" si="17"/>
        <v>24.279859616331382</v>
      </c>
      <c r="S65" s="11"/>
      <c r="T65" s="13">
        <f>C65*$F$122</f>
        <v>633791.12903225806</v>
      </c>
      <c r="U65" s="13">
        <f>AA65*$C$126/$C$127</f>
        <v>8800</v>
      </c>
      <c r="V65" s="13">
        <f t="shared" si="31"/>
        <v>825000</v>
      </c>
      <c r="W65" s="13">
        <v>0</v>
      </c>
      <c r="X65" s="13">
        <f t="shared" si="26"/>
        <v>7743373.4939759038</v>
      </c>
      <c r="Y65" s="13">
        <f t="shared" si="27"/>
        <v>9210964.6230081618</v>
      </c>
      <c r="Z65" s="33">
        <f t="shared" si="28"/>
        <v>50.69325604297282</v>
      </c>
      <c r="AA65" s="5">
        <v>14300</v>
      </c>
      <c r="AB65" s="5" t="s">
        <v>102</v>
      </c>
      <c r="AC65" s="11"/>
      <c r="AD65" s="11"/>
      <c r="AE65" s="11"/>
    </row>
    <row r="66" spans="1:31" x14ac:dyDescent="0.25">
      <c r="A66" s="11">
        <f t="shared" si="29"/>
        <v>59</v>
      </c>
      <c r="B66" s="3" t="s">
        <v>29</v>
      </c>
      <c r="C66" s="5" t="s">
        <v>112</v>
      </c>
      <c r="D66" s="5" t="str">
        <f t="shared" ref="D66:D71" si="32">AA66</f>
        <v>*</v>
      </c>
      <c r="E66" s="6">
        <v>110000</v>
      </c>
      <c r="F66" s="5" t="str">
        <f t="shared" si="30"/>
        <v>*</v>
      </c>
      <c r="G66" s="6">
        <v>10400</v>
      </c>
      <c r="H66" s="13">
        <f t="shared" si="22"/>
        <v>120400</v>
      </c>
      <c r="I66" s="94">
        <f t="shared" si="10"/>
        <v>13883.799036144579</v>
      </c>
      <c r="J66" s="94">
        <f t="shared" si="11"/>
        <v>21103.374534939761</v>
      </c>
      <c r="K66" s="94">
        <f t="shared" si="12"/>
        <v>29433.653956626509</v>
      </c>
      <c r="L66" s="94">
        <f t="shared" si="13"/>
        <v>405.83412567191851</v>
      </c>
      <c r="M66" s="94">
        <f t="shared" si="14"/>
        <v>566.03180685820212</v>
      </c>
      <c r="N66" s="94">
        <f t="shared" si="15"/>
        <v>25.997657166673747</v>
      </c>
      <c r="O66" s="96">
        <f t="shared" si="23"/>
        <v>6.2394377200016988</v>
      </c>
      <c r="P66" s="97">
        <f t="shared" si="24"/>
        <v>1.0781558225870517E-2</v>
      </c>
      <c r="Q66" s="94">
        <f t="shared" si="16"/>
        <v>26.271316715796626</v>
      </c>
      <c r="R66" s="94">
        <f t="shared" si="17"/>
        <v>21.515302482764479</v>
      </c>
      <c r="S66" s="11"/>
      <c r="T66" s="13">
        <v>0</v>
      </c>
      <c r="U66" s="13">
        <v>0</v>
      </c>
      <c r="V66" s="13">
        <f t="shared" si="31"/>
        <v>550000</v>
      </c>
      <c r="W66" s="13">
        <v>0</v>
      </c>
      <c r="X66" s="13">
        <f t="shared" si="26"/>
        <v>8053108.4337349404</v>
      </c>
      <c r="Y66" s="13">
        <f t="shared" si="27"/>
        <v>8603108.4337349404</v>
      </c>
      <c r="Z66" s="33">
        <f t="shared" si="28"/>
        <v>71.454388984509478</v>
      </c>
      <c r="AA66" s="5" t="s">
        <v>102</v>
      </c>
      <c r="AB66" s="5" t="s">
        <v>102</v>
      </c>
      <c r="AC66" s="11"/>
      <c r="AD66" s="11"/>
      <c r="AE66" s="11"/>
    </row>
    <row r="67" spans="1:31" x14ac:dyDescent="0.25">
      <c r="A67" s="11">
        <f t="shared" si="29"/>
        <v>60</v>
      </c>
      <c r="B67" s="3" t="s">
        <v>9</v>
      </c>
      <c r="C67" s="5">
        <v>80000</v>
      </c>
      <c r="D67" s="5" t="str">
        <f t="shared" si="32"/>
        <v>*</v>
      </c>
      <c r="E67" s="6">
        <v>1500</v>
      </c>
      <c r="F67" s="5" t="str">
        <f t="shared" si="30"/>
        <v>*</v>
      </c>
      <c r="G67" s="6">
        <v>1900</v>
      </c>
      <c r="H67" s="13">
        <f t="shared" si="22"/>
        <v>83400</v>
      </c>
      <c r="I67" s="94">
        <f t="shared" si="10"/>
        <v>20412.926746987952</v>
      </c>
      <c r="J67" s="94">
        <f t="shared" si="11"/>
        <v>31027.648655421686</v>
      </c>
      <c r="K67" s="94">
        <f t="shared" si="12"/>
        <v>43275.404703614462</v>
      </c>
      <c r="L67" s="94">
        <f t="shared" si="13"/>
        <v>596.68555106580163</v>
      </c>
      <c r="M67" s="94">
        <f t="shared" si="14"/>
        <v>832.219321223355</v>
      </c>
      <c r="N67" s="94">
        <f t="shared" si="15"/>
        <v>38.223563302453663</v>
      </c>
      <c r="O67" s="96">
        <f t="shared" si="23"/>
        <v>9.1736551925888783</v>
      </c>
      <c r="P67" s="97">
        <f t="shared" si="24"/>
        <v>1.5851796594730572E-2</v>
      </c>
      <c r="Q67" s="94">
        <f t="shared" si="16"/>
        <v>38.625916600374232</v>
      </c>
      <c r="R67" s="94">
        <f t="shared" si="17"/>
        <v>31.633293767547858</v>
      </c>
      <c r="S67" s="11"/>
      <c r="T67" s="13">
        <f>C67*$F$122</f>
        <v>11267397.849462366</v>
      </c>
      <c r="U67" s="13">
        <v>0</v>
      </c>
      <c r="V67" s="13">
        <f t="shared" si="31"/>
        <v>7500</v>
      </c>
      <c r="W67" s="13">
        <v>0</v>
      </c>
      <c r="X67" s="13">
        <f t="shared" si="26"/>
        <v>1471240.9638554219</v>
      </c>
      <c r="Y67" s="13">
        <f t="shared" si="27"/>
        <v>12746138.813317787</v>
      </c>
      <c r="Z67" s="33">
        <f t="shared" si="28"/>
        <v>152.83140063930199</v>
      </c>
      <c r="AA67" s="5" t="s">
        <v>102</v>
      </c>
      <c r="AB67" s="5" t="s">
        <v>102</v>
      </c>
      <c r="AC67" s="11"/>
      <c r="AD67" s="11"/>
      <c r="AE67" s="11"/>
    </row>
    <row r="68" spans="1:31" x14ac:dyDescent="0.25">
      <c r="A68" s="11">
        <f t="shared" si="29"/>
        <v>61</v>
      </c>
      <c r="B68" s="3" t="s">
        <v>24</v>
      </c>
      <c r="C68" s="5">
        <v>72000</v>
      </c>
      <c r="D68" s="5" t="str">
        <f t="shared" si="32"/>
        <v>*</v>
      </c>
      <c r="E68" s="6" t="s">
        <v>102</v>
      </c>
      <c r="F68" s="5" t="str">
        <f t="shared" si="30"/>
        <v>*</v>
      </c>
      <c r="G68" s="6">
        <v>1000</v>
      </c>
      <c r="H68" s="13">
        <f t="shared" si="22"/>
        <v>73000</v>
      </c>
      <c r="I68" s="94">
        <f t="shared" si="10"/>
        <v>17557.461445783134</v>
      </c>
      <c r="J68" s="94">
        <f t="shared" si="11"/>
        <v>26687.341397590364</v>
      </c>
      <c r="K68" s="94">
        <f t="shared" si="12"/>
        <v>37221.818265060247</v>
      </c>
      <c r="L68" s="94">
        <f t="shared" si="13"/>
        <v>513.21810379981468</v>
      </c>
      <c r="M68" s="94">
        <f t="shared" si="14"/>
        <v>715.80419740500474</v>
      </c>
      <c r="N68" s="94">
        <f t="shared" si="15"/>
        <v>32.876654451440061</v>
      </c>
      <c r="O68" s="96">
        <f t="shared" si="23"/>
        <v>7.8903970683456137</v>
      </c>
      <c r="P68" s="97">
        <f t="shared" si="24"/>
        <v>1.3634365664857232E-2</v>
      </c>
      <c r="Q68" s="94">
        <f t="shared" si="16"/>
        <v>33.222724498297325</v>
      </c>
      <c r="R68" s="94">
        <f t="shared" si="17"/>
        <v>27.20826575291591</v>
      </c>
      <c r="S68" s="11"/>
      <c r="T68" s="13">
        <f>C68*$F$122</f>
        <v>10140658.064516129</v>
      </c>
      <c r="U68" s="13">
        <v>0</v>
      </c>
      <c r="V68" s="13">
        <v>0</v>
      </c>
      <c r="W68" s="13">
        <v>0</v>
      </c>
      <c r="X68" s="13">
        <f t="shared" si="26"/>
        <v>774337.34939759038</v>
      </c>
      <c r="Y68" s="13">
        <f t="shared" si="27"/>
        <v>10914995.413913719</v>
      </c>
      <c r="Z68" s="33">
        <f t="shared" si="28"/>
        <v>149.52048512210575</v>
      </c>
      <c r="AA68" s="5" t="s">
        <v>102</v>
      </c>
      <c r="AB68" s="5" t="s">
        <v>102</v>
      </c>
      <c r="AC68" s="11"/>
      <c r="AD68" s="11"/>
      <c r="AE68" s="11"/>
    </row>
    <row r="69" spans="1:31" x14ac:dyDescent="0.25">
      <c r="A69" s="11">
        <f t="shared" si="29"/>
        <v>62</v>
      </c>
      <c r="B69" s="3" t="s">
        <v>41</v>
      </c>
      <c r="C69" s="5">
        <v>52000</v>
      </c>
      <c r="D69" s="5" t="str">
        <f t="shared" si="32"/>
        <v>(D)</v>
      </c>
      <c r="E69" s="6" t="s">
        <v>103</v>
      </c>
      <c r="F69" s="5" t="str">
        <f t="shared" si="30"/>
        <v>*</v>
      </c>
      <c r="G69" s="6">
        <v>10000</v>
      </c>
      <c r="H69" s="13">
        <f t="shared" si="22"/>
        <v>62000</v>
      </c>
      <c r="I69" s="94">
        <f t="shared" si="10"/>
        <v>22936.614457831325</v>
      </c>
      <c r="J69" s="94">
        <f t="shared" si="11"/>
        <v>34863.653975903617</v>
      </c>
      <c r="K69" s="94">
        <f t="shared" si="12"/>
        <v>48625.62265060241</v>
      </c>
      <c r="L69" s="94">
        <f t="shared" si="13"/>
        <v>670.45488415199259</v>
      </c>
      <c r="M69" s="94">
        <f t="shared" si="14"/>
        <v>935.10812789620024</v>
      </c>
      <c r="N69" s="94">
        <f t="shared" si="15"/>
        <v>42.949212797339541</v>
      </c>
      <c r="O69" s="96">
        <f t="shared" si="23"/>
        <v>10.30781107136149</v>
      </c>
      <c r="P69" s="97">
        <f t="shared" si="24"/>
        <v>1.7811583388499051E-2</v>
      </c>
      <c r="Q69" s="94">
        <f t="shared" si="16"/>
        <v>43.401309774153646</v>
      </c>
      <c r="R69" s="94">
        <f t="shared" si="17"/>
        <v>35.54417610814307</v>
      </c>
      <c r="S69" s="11"/>
      <c r="T69" s="13">
        <f>C69*$F$122</f>
        <v>7323808.602150538</v>
      </c>
      <c r="U69" s="13">
        <v>0</v>
      </c>
      <c r="V69" s="13">
        <v>0</v>
      </c>
      <c r="W69" s="13">
        <v>0</v>
      </c>
      <c r="X69" s="13">
        <f t="shared" si="26"/>
        <v>7743373.4939759038</v>
      </c>
      <c r="Y69" s="13">
        <f t="shared" si="27"/>
        <v>15067182.096126441</v>
      </c>
      <c r="Z69" s="33">
        <f t="shared" si="28"/>
        <v>243.0190660665555</v>
      </c>
      <c r="AA69" s="5" t="s">
        <v>103</v>
      </c>
      <c r="AB69" s="5" t="s">
        <v>102</v>
      </c>
      <c r="AC69" s="11"/>
      <c r="AD69" s="11"/>
      <c r="AE69" s="11"/>
    </row>
    <row r="70" spans="1:31" x14ac:dyDescent="0.25">
      <c r="A70" s="11">
        <f t="shared" si="29"/>
        <v>63</v>
      </c>
      <c r="B70" s="3" t="s">
        <v>6</v>
      </c>
      <c r="C70" s="5">
        <v>41000</v>
      </c>
      <c r="D70" s="5" t="str">
        <f t="shared" si="32"/>
        <v>(D)</v>
      </c>
      <c r="E70" s="6" t="s">
        <v>102</v>
      </c>
      <c r="F70" s="5" t="str">
        <f t="shared" si="30"/>
        <v>*</v>
      </c>
      <c r="G70" s="6">
        <v>1300</v>
      </c>
      <c r="H70" s="13">
        <f t="shared" si="22"/>
        <v>42300</v>
      </c>
      <c r="I70" s="94">
        <f t="shared" si="10"/>
        <v>10805.599879518073</v>
      </c>
      <c r="J70" s="94">
        <f t="shared" si="11"/>
        <v>16424.511816867471</v>
      </c>
      <c r="K70" s="94">
        <f t="shared" si="12"/>
        <v>22907.871744578315</v>
      </c>
      <c r="L70" s="94">
        <f t="shared" si="13"/>
        <v>315.85599647822062</v>
      </c>
      <c r="M70" s="94">
        <f t="shared" si="14"/>
        <v>440.5359950880445</v>
      </c>
      <c r="N70" s="94">
        <f t="shared" si="15"/>
        <v>20.233675265438823</v>
      </c>
      <c r="O70" s="96">
        <f t="shared" si="23"/>
        <v>4.8560820637053173</v>
      </c>
      <c r="P70" s="97">
        <f t="shared" si="24"/>
        <v>8.3911618112008472E-3</v>
      </c>
      <c r="Q70" s="94">
        <f t="shared" si="16"/>
        <v>20.446661320864497</v>
      </c>
      <c r="R70" s="94">
        <f t="shared" si="17"/>
        <v>16.745110564501097</v>
      </c>
      <c r="S70" s="11"/>
      <c r="T70" s="13">
        <f>C70*$F$122</f>
        <v>5774541.397849462</v>
      </c>
      <c r="U70" s="13">
        <v>0</v>
      </c>
      <c r="V70" s="13">
        <v>0</v>
      </c>
      <c r="W70" s="13">
        <v>0</v>
      </c>
      <c r="X70" s="13">
        <f t="shared" si="26"/>
        <v>1006638.5542168675</v>
      </c>
      <c r="Y70" s="13">
        <f t="shared" si="27"/>
        <v>6781179.9520663293</v>
      </c>
      <c r="Z70" s="33">
        <f t="shared" si="28"/>
        <v>160.31158279116619</v>
      </c>
      <c r="AA70" s="5" t="s">
        <v>103</v>
      </c>
      <c r="AB70" s="5" t="s">
        <v>102</v>
      </c>
      <c r="AC70" s="11"/>
      <c r="AD70" s="11"/>
      <c r="AE70" s="11"/>
    </row>
    <row r="71" spans="1:31" x14ac:dyDescent="0.25">
      <c r="A71" s="11">
        <f t="shared" si="29"/>
        <v>64</v>
      </c>
      <c r="B71" s="3" t="s">
        <v>97</v>
      </c>
      <c r="C71" s="5">
        <v>33000</v>
      </c>
      <c r="D71" s="5" t="str">
        <f t="shared" si="32"/>
        <v>(D)</v>
      </c>
      <c r="E71" s="6" t="s">
        <v>102</v>
      </c>
      <c r="F71" s="5" t="str">
        <f t="shared" si="30"/>
        <v>*</v>
      </c>
      <c r="G71" s="6">
        <v>1200</v>
      </c>
      <c r="H71" s="13">
        <f t="shared" si="22"/>
        <v>34200</v>
      </c>
      <c r="I71" s="94">
        <f t="shared" si="10"/>
        <v>8867.05373493976</v>
      </c>
      <c r="J71" s="94">
        <f t="shared" si="11"/>
        <v>13477.921677108436</v>
      </c>
      <c r="K71" s="94">
        <f t="shared" si="12"/>
        <v>18798.153918072294</v>
      </c>
      <c r="L71" s="94">
        <f t="shared" si="13"/>
        <v>259.19080148285451</v>
      </c>
      <c r="M71" s="94">
        <f t="shared" si="14"/>
        <v>361.50295996292874</v>
      </c>
      <c r="N71" s="94">
        <f t="shared" si="15"/>
        <v>16.603713614645649</v>
      </c>
      <c r="O71" s="96">
        <f t="shared" si="23"/>
        <v>3.9848912675149553</v>
      </c>
      <c r="P71" s="97">
        <f t="shared" si="24"/>
        <v>6.8857706659605474E-3</v>
      </c>
      <c r="Q71" s="94">
        <f t="shared" si="16"/>
        <v>16.778489547431391</v>
      </c>
      <c r="R71" s="94">
        <f t="shared" si="17"/>
        <v>13.741004370741226</v>
      </c>
      <c r="S71" s="11"/>
      <c r="T71" s="13">
        <f>C71*$F$122</f>
        <v>4647801.6129032262</v>
      </c>
      <c r="U71" s="13">
        <v>0</v>
      </c>
      <c r="V71" s="13">
        <v>0</v>
      </c>
      <c r="W71" s="13">
        <v>0</v>
      </c>
      <c r="X71" s="13">
        <f t="shared" si="26"/>
        <v>929204.81927710853</v>
      </c>
      <c r="Y71" s="13">
        <f t="shared" si="27"/>
        <v>5577006.4321803348</v>
      </c>
      <c r="Z71" s="33">
        <f t="shared" si="28"/>
        <v>163.07036351404489</v>
      </c>
      <c r="AA71" s="5" t="s">
        <v>103</v>
      </c>
      <c r="AB71" s="5" t="s">
        <v>102</v>
      </c>
      <c r="AC71" s="11"/>
      <c r="AD71" s="11"/>
      <c r="AE71" s="11"/>
    </row>
    <row r="72" spans="1:31" x14ac:dyDescent="0.25">
      <c r="A72" s="11">
        <f t="shared" si="29"/>
        <v>65</v>
      </c>
      <c r="B72" s="3" t="s">
        <v>10</v>
      </c>
      <c r="C72" s="5" t="s">
        <v>112</v>
      </c>
      <c r="D72" s="5">
        <f>AA72/$C$127</f>
        <v>969.23076923076928</v>
      </c>
      <c r="E72" s="6">
        <v>9300</v>
      </c>
      <c r="F72" s="5" t="str">
        <f t="shared" si="30"/>
        <v>*</v>
      </c>
      <c r="G72" s="6">
        <v>14800</v>
      </c>
      <c r="H72" s="13">
        <f t="shared" ref="H72:H103" si="33">SUM(C72:G72)</f>
        <v>25069.23076923077</v>
      </c>
      <c r="I72" s="94">
        <f t="shared" si="10"/>
        <v>16564.577859128825</v>
      </c>
      <c r="J72" s="94">
        <f t="shared" si="11"/>
        <v>25178.158345875814</v>
      </c>
      <c r="K72" s="94">
        <f t="shared" si="12"/>
        <v>35116.905061353114</v>
      </c>
      <c r="L72" s="94">
        <f t="shared" si="13"/>
        <v>484.19535280530414</v>
      </c>
      <c r="M72" s="94">
        <f t="shared" si="14"/>
        <v>675.32509733371376</v>
      </c>
      <c r="N72" s="94">
        <f t="shared" si="15"/>
        <v>31.017462523851911</v>
      </c>
      <c r="O72" s="96">
        <f t="shared" si="23"/>
        <v>7.4441910057244591</v>
      </c>
      <c r="P72" s="97">
        <f t="shared" si="24"/>
        <v>1.2863335187308833E-2</v>
      </c>
      <c r="Q72" s="94">
        <f t="shared" si="16"/>
        <v>31.343962129366144</v>
      </c>
      <c r="R72" s="94">
        <f t="shared" si="17"/>
        <v>25.669624157670548</v>
      </c>
      <c r="S72" s="11"/>
      <c r="T72" s="13">
        <v>0</v>
      </c>
      <c r="U72" s="13">
        <f>AA72*$C$126/$C$127</f>
        <v>3876.9230769230771</v>
      </c>
      <c r="V72" s="13">
        <f>E72*$C$130</f>
        <v>46500</v>
      </c>
      <c r="W72" s="13">
        <v>0</v>
      </c>
      <c r="X72" s="13">
        <f t="shared" ref="X72:X105" si="34">G72*$F$152</f>
        <v>11460192.771084338</v>
      </c>
      <c r="Y72" s="13">
        <f t="shared" ref="Y72:Y103" si="35">SUM(T72:X72)</f>
        <v>11510569.694161262</v>
      </c>
      <c r="Z72" s="33">
        <f t="shared" ref="Z72:Z103" si="36">Y72/H72</f>
        <v>459.15129188124092</v>
      </c>
      <c r="AA72" s="5">
        <v>6300</v>
      </c>
      <c r="AB72" s="5" t="s">
        <v>102</v>
      </c>
      <c r="AC72" s="11"/>
      <c r="AD72" s="11"/>
      <c r="AE72" s="11"/>
    </row>
    <row r="73" spans="1:31" x14ac:dyDescent="0.25">
      <c r="A73" s="11">
        <f t="shared" ref="A73:A108" si="37">A72+1</f>
        <v>66</v>
      </c>
      <c r="B73" s="3" t="s">
        <v>2</v>
      </c>
      <c r="C73" s="5" t="s">
        <v>112</v>
      </c>
      <c r="D73" s="5" t="str">
        <f>AA73</f>
        <v>*</v>
      </c>
      <c r="E73" s="6" t="s">
        <v>102</v>
      </c>
      <c r="F73" s="5" t="str">
        <f t="shared" si="30"/>
        <v>*</v>
      </c>
      <c r="G73" s="6">
        <v>24000</v>
      </c>
      <c r="H73" s="13">
        <f t="shared" si="33"/>
        <v>24000</v>
      </c>
      <c r="I73" s="94">
        <f t="shared" ref="I73:I108" si="38">IFERROR(C73*$C$157, 0) + IFERROR(D73*$D$157, 0) + IFERROR(E73*$E$157, 0) + IFERROR(F73*$F$157, 0) + IFERROR(G73*$G$157, 0)</f>
        <v>26531.074698795182</v>
      </c>
      <c r="J73" s="94">
        <f t="shared" ref="J73:J108" si="39">$C$163*I73</f>
        <v>40327.23354216868</v>
      </c>
      <c r="K73" s="94">
        <f t="shared" ref="K73:K110" si="40">$C$164*I73</f>
        <v>56245.878361445786</v>
      </c>
      <c r="L73" s="94">
        <f t="shared" ref="L73:L108" si="41">J73/52</f>
        <v>775.52372196478234</v>
      </c>
      <c r="M73" s="94">
        <f t="shared" ref="M73:M108" si="42">K73/52</f>
        <v>1081.6515069508805</v>
      </c>
      <c r="N73" s="94">
        <f t="shared" ref="N73:N108" si="43">M73/$E$170</f>
        <v>49.679902632343627</v>
      </c>
      <c r="O73" s="96">
        <f t="shared" ref="O73:O108" si="44">M73/$E$171</f>
        <v>11.92317663176247</v>
      </c>
      <c r="P73" s="97">
        <f t="shared" ref="P73:P108" si="45">M73/$E$172</f>
        <v>2.0602885846683437E-2</v>
      </c>
      <c r="Q73" s="94">
        <f t="shared" ref="Q73:Q110" si="46">M73/$E$173</f>
        <v>50.202848975841981</v>
      </c>
      <c r="R73" s="94">
        <f t="shared" ref="R73:R110" si="47">M73/$E$174</f>
        <v>41.114402178491275</v>
      </c>
      <c r="S73" s="11"/>
      <c r="T73" s="13">
        <v>0</v>
      </c>
      <c r="U73" s="13">
        <v>0</v>
      </c>
      <c r="V73" s="13">
        <v>0</v>
      </c>
      <c r="W73" s="13">
        <v>0</v>
      </c>
      <c r="X73" s="13">
        <f t="shared" si="34"/>
        <v>18584096.385542169</v>
      </c>
      <c r="Y73" s="13">
        <f t="shared" si="35"/>
        <v>18584096.385542169</v>
      </c>
      <c r="Z73" s="33">
        <f t="shared" si="36"/>
        <v>774.3373493975904</v>
      </c>
      <c r="AA73" s="5" t="s">
        <v>102</v>
      </c>
      <c r="AB73" s="5" t="s">
        <v>102</v>
      </c>
      <c r="AC73" s="11"/>
      <c r="AD73" s="11"/>
      <c r="AE73" s="11"/>
    </row>
    <row r="74" spans="1:31" x14ac:dyDescent="0.25">
      <c r="A74" s="11">
        <f t="shared" si="37"/>
        <v>67</v>
      </c>
      <c r="B74" s="3" t="s">
        <v>4</v>
      </c>
      <c r="C74" s="5" t="s">
        <v>112</v>
      </c>
      <c r="D74" s="5" t="str">
        <f>AA74</f>
        <v>*</v>
      </c>
      <c r="E74" s="6">
        <v>2900</v>
      </c>
      <c r="F74" s="5" t="str">
        <f t="shared" si="30"/>
        <v>*</v>
      </c>
      <c r="G74" s="6">
        <v>19500</v>
      </c>
      <c r="H74" s="13">
        <f t="shared" si="33"/>
        <v>22400</v>
      </c>
      <c r="I74" s="94">
        <f t="shared" si="38"/>
        <v>21619.428192771087</v>
      </c>
      <c r="J74" s="94">
        <f t="shared" si="39"/>
        <v>32861.530853012053</v>
      </c>
      <c r="K74" s="94">
        <f t="shared" si="40"/>
        <v>45833.18776867471</v>
      </c>
      <c r="L74" s="94">
        <f t="shared" si="41"/>
        <v>631.95251640407798</v>
      </c>
      <c r="M74" s="94">
        <f t="shared" si="42"/>
        <v>881.40745708989823</v>
      </c>
      <c r="N74" s="94">
        <f t="shared" si="43"/>
        <v>40.48275841734322</v>
      </c>
      <c r="O74" s="96">
        <f t="shared" si="44"/>
        <v>9.7158620201623727</v>
      </c>
      <c r="P74" s="97">
        <f t="shared" si="45"/>
        <v>1.6788713468379013E-2</v>
      </c>
      <c r="Q74" s="94">
        <f t="shared" si="46"/>
        <v>40.908892716473154</v>
      </c>
      <c r="R74" s="94">
        <f t="shared" si="47"/>
        <v>33.50297248331853</v>
      </c>
      <c r="S74" s="11"/>
      <c r="T74" s="13">
        <v>0</v>
      </c>
      <c r="U74" s="13">
        <v>0</v>
      </c>
      <c r="V74" s="13">
        <f>E74*$C$130</f>
        <v>14500</v>
      </c>
      <c r="W74" s="13">
        <v>0</v>
      </c>
      <c r="X74" s="13">
        <f t="shared" si="34"/>
        <v>15099578.313253013</v>
      </c>
      <c r="Y74" s="13">
        <f t="shared" si="35"/>
        <v>15114078.313253013</v>
      </c>
      <c r="Z74" s="33">
        <f t="shared" si="36"/>
        <v>674.73563898450948</v>
      </c>
      <c r="AA74" s="5" t="s">
        <v>102</v>
      </c>
      <c r="AB74" s="5" t="s">
        <v>102</v>
      </c>
      <c r="AC74" s="11"/>
      <c r="AD74" s="11"/>
      <c r="AE74" s="11"/>
    </row>
    <row r="75" spans="1:31" x14ac:dyDescent="0.25">
      <c r="A75" s="11">
        <f t="shared" si="37"/>
        <v>68</v>
      </c>
      <c r="B75" s="3" t="s">
        <v>94</v>
      </c>
      <c r="C75" s="5" t="s">
        <v>112</v>
      </c>
      <c r="D75" s="5" t="str">
        <f>AA75</f>
        <v>*</v>
      </c>
      <c r="E75" s="6">
        <v>1700</v>
      </c>
      <c r="F75" s="5" t="str">
        <f t="shared" si="30"/>
        <v>*</v>
      </c>
      <c r="G75" s="6">
        <v>14500</v>
      </c>
      <c r="H75" s="13">
        <f t="shared" si="33"/>
        <v>16200</v>
      </c>
      <c r="I75" s="94">
        <f t="shared" si="38"/>
        <v>16066.080963855424</v>
      </c>
      <c r="J75" s="94">
        <f t="shared" si="39"/>
        <v>24420.443065060244</v>
      </c>
      <c r="K75" s="94">
        <f t="shared" si="40"/>
        <v>34060.091643373496</v>
      </c>
      <c r="L75" s="94">
        <f t="shared" si="41"/>
        <v>469.62390509731239</v>
      </c>
      <c r="M75" s="94">
        <f t="shared" si="42"/>
        <v>655.00176237256721</v>
      </c>
      <c r="N75" s="94">
        <f t="shared" si="43"/>
        <v>30.084018345624447</v>
      </c>
      <c r="O75" s="96">
        <f t="shared" si="44"/>
        <v>7.2201644029498668</v>
      </c>
      <c r="P75" s="97">
        <f t="shared" si="45"/>
        <v>1.2476224045191756E-2</v>
      </c>
      <c r="Q75" s="94">
        <f t="shared" si="46"/>
        <v>30.400692222946809</v>
      </c>
      <c r="R75" s="94">
        <f t="shared" si="47"/>
        <v>24.897118630861609</v>
      </c>
      <c r="S75" s="11"/>
      <c r="T75" s="13">
        <v>0</v>
      </c>
      <c r="U75" s="13">
        <v>0</v>
      </c>
      <c r="V75" s="13">
        <f>E75*$C$130</f>
        <v>8500</v>
      </c>
      <c r="W75" s="13">
        <v>0</v>
      </c>
      <c r="X75" s="13">
        <f t="shared" si="34"/>
        <v>11227891.566265061</v>
      </c>
      <c r="Y75" s="13">
        <f t="shared" si="35"/>
        <v>11236391.566265061</v>
      </c>
      <c r="Z75" s="33">
        <f t="shared" si="36"/>
        <v>693.60441767068278</v>
      </c>
      <c r="AA75" s="5" t="s">
        <v>102</v>
      </c>
      <c r="AB75" s="5" t="s">
        <v>102</v>
      </c>
      <c r="AC75" s="11"/>
      <c r="AD75" s="11"/>
      <c r="AE75" s="11"/>
    </row>
    <row r="76" spans="1:31" x14ac:dyDescent="0.25">
      <c r="A76" s="11">
        <f t="shared" si="37"/>
        <v>69</v>
      </c>
      <c r="B76" s="3" t="s">
        <v>78</v>
      </c>
      <c r="C76" s="5">
        <v>3000</v>
      </c>
      <c r="D76" s="5" t="str">
        <f>AA76</f>
        <v>*</v>
      </c>
      <c r="E76" s="6" t="s">
        <v>103</v>
      </c>
      <c r="F76" s="5" t="str">
        <f t="shared" si="30"/>
        <v>*</v>
      </c>
      <c r="G76" s="6">
        <v>10000</v>
      </c>
      <c r="H76" s="13">
        <f t="shared" si="33"/>
        <v>13000</v>
      </c>
      <c r="I76" s="94">
        <f t="shared" si="38"/>
        <v>11740.114457831327</v>
      </c>
      <c r="J76" s="94">
        <f t="shared" si="39"/>
        <v>17844.973975903617</v>
      </c>
      <c r="K76" s="94">
        <f t="shared" si="40"/>
        <v>24889.042650602416</v>
      </c>
      <c r="L76" s="94">
        <f t="shared" si="41"/>
        <v>343.17257645968493</v>
      </c>
      <c r="M76" s="94">
        <f t="shared" si="42"/>
        <v>478.63543558850802</v>
      </c>
      <c r="N76" s="94">
        <f t="shared" si="43"/>
        <v>21.983570201327588</v>
      </c>
      <c r="O76" s="96">
        <f t="shared" si="44"/>
        <v>5.2760568483186212</v>
      </c>
      <c r="P76" s="97">
        <f t="shared" si="45"/>
        <v>9.1168654397811057E-3</v>
      </c>
      <c r="Q76" s="94">
        <f t="shared" si="46"/>
        <v>22.214976203446827</v>
      </c>
      <c r="R76" s="94">
        <f t="shared" si="47"/>
        <v>18.193299476960764</v>
      </c>
      <c r="S76" s="11"/>
      <c r="T76" s="13">
        <f>C76*$F$122</f>
        <v>422527.41935483873</v>
      </c>
      <c r="U76" s="13">
        <v>0</v>
      </c>
      <c r="V76" s="13">
        <v>0</v>
      </c>
      <c r="W76" s="13">
        <v>0</v>
      </c>
      <c r="X76" s="13">
        <f t="shared" si="34"/>
        <v>7743373.4939759038</v>
      </c>
      <c r="Y76" s="13">
        <f t="shared" si="35"/>
        <v>8165900.9133307422</v>
      </c>
      <c r="Z76" s="33">
        <f t="shared" si="36"/>
        <v>628.14622410236473</v>
      </c>
      <c r="AA76" s="5" t="s">
        <v>102</v>
      </c>
      <c r="AB76" s="5" t="s">
        <v>102</v>
      </c>
      <c r="AC76" s="11"/>
      <c r="AD76" s="11"/>
      <c r="AE76" s="11"/>
    </row>
    <row r="77" spans="1:31" x14ac:dyDescent="0.25">
      <c r="A77" s="11">
        <f t="shared" si="37"/>
        <v>70</v>
      </c>
      <c r="B77" s="3" t="s">
        <v>91</v>
      </c>
      <c r="C77" s="5" t="s">
        <v>112</v>
      </c>
      <c r="D77" s="5">
        <f>AA77/$C$127</f>
        <v>923.07692307692309</v>
      </c>
      <c r="E77" s="6">
        <v>3400</v>
      </c>
      <c r="F77" s="5" t="str">
        <f t="shared" si="30"/>
        <v>(D)</v>
      </c>
      <c r="G77" s="6">
        <v>3500</v>
      </c>
      <c r="H77" s="13">
        <f t="shared" si="33"/>
        <v>7823.0769230769229</v>
      </c>
      <c r="I77" s="94">
        <f t="shared" si="38"/>
        <v>3944.7412140871184</v>
      </c>
      <c r="J77" s="94">
        <f t="shared" si="39"/>
        <v>5996.0066454124199</v>
      </c>
      <c r="K77" s="94">
        <f t="shared" si="40"/>
        <v>8362.8513738646907</v>
      </c>
      <c r="L77" s="94">
        <f t="shared" si="41"/>
        <v>115.307820104085</v>
      </c>
      <c r="M77" s="94">
        <f t="shared" si="42"/>
        <v>160.82406488201329</v>
      </c>
      <c r="N77" s="94">
        <f t="shared" si="43"/>
        <v>7.3865970998355577</v>
      </c>
      <c r="O77" s="96">
        <f t="shared" si="44"/>
        <v>1.7727833039605339</v>
      </c>
      <c r="P77" s="97">
        <f t="shared" si="45"/>
        <v>3.0633155215621581E-3</v>
      </c>
      <c r="Q77" s="94">
        <f t="shared" si="46"/>
        <v>7.4643507535180369</v>
      </c>
      <c r="R77" s="94">
        <f t="shared" si="47"/>
        <v>6.1130458757259785</v>
      </c>
      <c r="S77" s="11"/>
      <c r="T77" s="13">
        <v>0</v>
      </c>
      <c r="U77" s="13">
        <f>AA77*$C$126/$C$127</f>
        <v>3692.3076923076924</v>
      </c>
      <c r="V77" s="13">
        <f>E77*$C$130</f>
        <v>17000</v>
      </c>
      <c r="W77" s="13">
        <v>0</v>
      </c>
      <c r="X77" s="13">
        <f t="shared" si="34"/>
        <v>2710180.7228915663</v>
      </c>
      <c r="Y77" s="13">
        <f t="shared" si="35"/>
        <v>2730873.0305838739</v>
      </c>
      <c r="Z77" s="33">
        <f t="shared" si="36"/>
        <v>349.07914845221592</v>
      </c>
      <c r="AA77" s="5">
        <v>6000</v>
      </c>
      <c r="AB77" s="5" t="s">
        <v>103</v>
      </c>
      <c r="AC77" s="11"/>
      <c r="AD77" s="11"/>
      <c r="AE77" s="11"/>
    </row>
    <row r="78" spans="1:31" x14ac:dyDescent="0.25">
      <c r="A78" s="11">
        <f t="shared" si="37"/>
        <v>71</v>
      </c>
      <c r="B78" s="3" t="s">
        <v>43</v>
      </c>
      <c r="C78" s="5" t="s">
        <v>112</v>
      </c>
      <c r="D78" s="5" t="str">
        <f>AA78</f>
        <v>*</v>
      </c>
      <c r="E78" s="6">
        <v>1600</v>
      </c>
      <c r="F78" s="5" t="str">
        <f t="shared" si="30"/>
        <v>*</v>
      </c>
      <c r="G78" s="6">
        <v>10200</v>
      </c>
      <c r="H78" s="13">
        <f t="shared" si="33"/>
        <v>11800</v>
      </c>
      <c r="I78" s="94">
        <f t="shared" si="38"/>
        <v>11310.426746987952</v>
      </c>
      <c r="J78" s="94">
        <f t="shared" si="39"/>
        <v>17191.848655421687</v>
      </c>
      <c r="K78" s="94">
        <f t="shared" si="40"/>
        <v>23978.104703614459</v>
      </c>
      <c r="L78" s="94">
        <f t="shared" si="41"/>
        <v>330.61247414272475</v>
      </c>
      <c r="M78" s="94">
        <f t="shared" si="42"/>
        <v>461.11739814643192</v>
      </c>
      <c r="N78" s="94">
        <f t="shared" si="43"/>
        <v>21.178972427608951</v>
      </c>
      <c r="O78" s="96">
        <f t="shared" si="44"/>
        <v>5.0829533826261475</v>
      </c>
      <c r="P78" s="97">
        <f t="shared" si="45"/>
        <v>8.7831885361225135E-3</v>
      </c>
      <c r="Q78" s="94">
        <f t="shared" si="46"/>
        <v>21.401908979478517</v>
      </c>
      <c r="R78" s="94">
        <f t="shared" si="47"/>
        <v>17.527425457331542</v>
      </c>
      <c r="S78" s="11"/>
      <c r="T78" s="13">
        <v>0</v>
      </c>
      <c r="U78" s="13">
        <v>0</v>
      </c>
      <c r="V78" s="13">
        <f>E78*$C$130</f>
        <v>8000</v>
      </c>
      <c r="W78" s="13">
        <v>0</v>
      </c>
      <c r="X78" s="13">
        <f t="shared" si="34"/>
        <v>7898240.9638554221</v>
      </c>
      <c r="Y78" s="13">
        <f t="shared" si="35"/>
        <v>7906240.9638554221</v>
      </c>
      <c r="Z78" s="33">
        <f t="shared" si="36"/>
        <v>670.02042066571369</v>
      </c>
      <c r="AA78" s="5" t="s">
        <v>102</v>
      </c>
      <c r="AB78" s="5" t="s">
        <v>102</v>
      </c>
      <c r="AC78" s="11"/>
      <c r="AD78" s="11"/>
      <c r="AE78" s="11"/>
    </row>
    <row r="79" spans="1:31" x14ac:dyDescent="0.25">
      <c r="A79" s="11">
        <f t="shared" si="37"/>
        <v>72</v>
      </c>
      <c r="B79" s="3" t="s">
        <v>72</v>
      </c>
      <c r="C79" s="5">
        <v>3500</v>
      </c>
      <c r="D79" s="5" t="str">
        <f>AA79</f>
        <v>(D)</v>
      </c>
      <c r="E79" s="6" t="s">
        <v>102</v>
      </c>
      <c r="F79" s="5" t="str">
        <f t="shared" si="30"/>
        <v>*</v>
      </c>
      <c r="G79" s="6">
        <v>7800</v>
      </c>
      <c r="H79" s="13">
        <f t="shared" si="33"/>
        <v>11300</v>
      </c>
      <c r="I79" s="94">
        <f t="shared" si="38"/>
        <v>9422.3492771084348</v>
      </c>
      <c r="J79" s="94">
        <f t="shared" si="39"/>
        <v>14321.970901204821</v>
      </c>
      <c r="K79" s="94">
        <f t="shared" si="40"/>
        <v>19975.380467469884</v>
      </c>
      <c r="L79" s="94">
        <f t="shared" si="41"/>
        <v>275.42251733086192</v>
      </c>
      <c r="M79" s="94">
        <f t="shared" si="42"/>
        <v>384.14193206672854</v>
      </c>
      <c r="N79" s="94">
        <f t="shared" si="43"/>
        <v>17.643514255226822</v>
      </c>
      <c r="O79" s="96">
        <f t="shared" si="44"/>
        <v>4.2344434212544373</v>
      </c>
      <c r="P79" s="97">
        <f t="shared" si="45"/>
        <v>7.3169891822234007E-3</v>
      </c>
      <c r="Q79" s="94">
        <f t="shared" si="46"/>
        <v>17.82923545791342</v>
      </c>
      <c r="R79" s="94">
        <f t="shared" si="47"/>
        <v>14.601529038808405</v>
      </c>
      <c r="S79" s="11"/>
      <c r="T79" s="13">
        <f>C79*$F$122</f>
        <v>492948.65591397852</v>
      </c>
      <c r="U79" s="13">
        <v>0</v>
      </c>
      <c r="V79" s="13">
        <v>0</v>
      </c>
      <c r="W79" s="13">
        <v>0</v>
      </c>
      <c r="X79" s="13">
        <f t="shared" si="34"/>
        <v>6039831.3253012048</v>
      </c>
      <c r="Y79" s="13">
        <f t="shared" si="35"/>
        <v>6532779.9812151836</v>
      </c>
      <c r="Z79" s="33">
        <f t="shared" si="36"/>
        <v>578.12212223143217</v>
      </c>
      <c r="AA79" s="5" t="s">
        <v>103</v>
      </c>
      <c r="AB79" s="5" t="s">
        <v>102</v>
      </c>
      <c r="AC79" s="11"/>
      <c r="AD79" s="11"/>
      <c r="AE79" s="11"/>
    </row>
    <row r="80" spans="1:31" x14ac:dyDescent="0.25">
      <c r="A80" s="11">
        <f t="shared" si="37"/>
        <v>73</v>
      </c>
      <c r="B80" s="3" t="s">
        <v>57</v>
      </c>
      <c r="C80" s="5" t="s">
        <v>112</v>
      </c>
      <c r="D80" s="5" t="str">
        <f>AA80</f>
        <v>(D)</v>
      </c>
      <c r="E80" s="6">
        <v>4000</v>
      </c>
      <c r="F80" s="5" t="str">
        <f t="shared" si="30"/>
        <v>*</v>
      </c>
      <c r="G80" s="6">
        <v>6000</v>
      </c>
      <c r="H80" s="13">
        <f t="shared" si="33"/>
        <v>10000</v>
      </c>
      <c r="I80" s="94">
        <f t="shared" si="38"/>
        <v>6719.5686746987958</v>
      </c>
      <c r="J80" s="94">
        <f t="shared" si="39"/>
        <v>10213.74438554217</v>
      </c>
      <c r="K80" s="94">
        <f t="shared" si="40"/>
        <v>14245.485590361448</v>
      </c>
      <c r="L80" s="94">
        <f t="shared" si="41"/>
        <v>196.41816126042633</v>
      </c>
      <c r="M80" s="94">
        <f t="shared" si="42"/>
        <v>273.9516459684894</v>
      </c>
      <c r="N80" s="94">
        <f t="shared" si="43"/>
        <v>12.582510180243176</v>
      </c>
      <c r="O80" s="96">
        <f t="shared" si="44"/>
        <v>3.0198024432583619</v>
      </c>
      <c r="P80" s="97">
        <f t="shared" si="45"/>
        <v>5.2181265898759883E-3</v>
      </c>
      <c r="Q80" s="94">
        <f t="shared" si="46"/>
        <v>12.714957655824684</v>
      </c>
      <c r="R80" s="94">
        <f t="shared" si="47"/>
        <v>10.413111873304697</v>
      </c>
      <c r="S80" s="11"/>
      <c r="T80" s="13">
        <v>0</v>
      </c>
      <c r="U80" s="13">
        <v>0</v>
      </c>
      <c r="V80" s="13">
        <f>E80*$C$130</f>
        <v>20000</v>
      </c>
      <c r="W80" s="13">
        <v>0</v>
      </c>
      <c r="X80" s="13">
        <f t="shared" si="34"/>
        <v>4646024.0963855423</v>
      </c>
      <c r="Y80" s="13">
        <f t="shared" si="35"/>
        <v>4666024.0963855423</v>
      </c>
      <c r="Z80" s="33">
        <f t="shared" si="36"/>
        <v>466.60240963855421</v>
      </c>
      <c r="AA80" s="5" t="s">
        <v>103</v>
      </c>
      <c r="AB80" s="5" t="s">
        <v>102</v>
      </c>
      <c r="AC80" s="11"/>
      <c r="AD80" s="11"/>
      <c r="AE80" s="11"/>
    </row>
    <row r="81" spans="1:31" x14ac:dyDescent="0.25">
      <c r="A81" s="11">
        <f t="shared" si="37"/>
        <v>74</v>
      </c>
      <c r="B81" s="3" t="s">
        <v>38</v>
      </c>
      <c r="C81" s="5">
        <v>1000</v>
      </c>
      <c r="D81" s="5" t="str">
        <f>AA81</f>
        <v>(D)</v>
      </c>
      <c r="E81" s="6">
        <v>1400</v>
      </c>
      <c r="F81" s="5" t="str">
        <f t="shared" si="30"/>
        <v>*</v>
      </c>
      <c r="G81" s="6">
        <v>7300</v>
      </c>
      <c r="H81" s="13">
        <f t="shared" si="33"/>
        <v>9700</v>
      </c>
      <c r="I81" s="94">
        <f t="shared" si="38"/>
        <v>8328.7485542168688</v>
      </c>
      <c r="J81" s="94">
        <f t="shared" si="39"/>
        <v>12659.697802409641</v>
      </c>
      <c r="K81" s="94">
        <f t="shared" si="40"/>
        <v>17656.946934939762</v>
      </c>
      <c r="L81" s="94">
        <f t="shared" si="41"/>
        <v>243.45572696941616</v>
      </c>
      <c r="M81" s="94">
        <f t="shared" si="42"/>
        <v>339.55667182576468</v>
      </c>
      <c r="N81" s="94">
        <f t="shared" si="43"/>
        <v>15.595727723821035</v>
      </c>
      <c r="O81" s="96">
        <f t="shared" si="44"/>
        <v>3.7429746537170483</v>
      </c>
      <c r="P81" s="97">
        <f t="shared" si="45"/>
        <v>6.467746130014565E-3</v>
      </c>
      <c r="Q81" s="94">
        <f t="shared" si="46"/>
        <v>15.759893278808626</v>
      </c>
      <c r="R81" s="94">
        <f t="shared" si="47"/>
        <v>12.906809150748442</v>
      </c>
      <c r="S81" s="11"/>
      <c r="T81" s="13">
        <f>C81*$F$122</f>
        <v>140842.47311827957</v>
      </c>
      <c r="U81" s="13">
        <v>0</v>
      </c>
      <c r="V81" s="13">
        <f>E81*$C$130</f>
        <v>7000</v>
      </c>
      <c r="W81" s="13">
        <v>0</v>
      </c>
      <c r="X81" s="13">
        <f t="shared" si="34"/>
        <v>5652662.6506024096</v>
      </c>
      <c r="Y81" s="13">
        <f t="shared" si="35"/>
        <v>5800505.1237206887</v>
      </c>
      <c r="Z81" s="33">
        <f t="shared" si="36"/>
        <v>597.99021894027715</v>
      </c>
      <c r="AA81" s="5" t="s">
        <v>103</v>
      </c>
      <c r="AB81" s="5" t="s">
        <v>102</v>
      </c>
      <c r="AC81" s="11"/>
      <c r="AD81" s="11"/>
      <c r="AE81" s="11"/>
    </row>
    <row r="82" spans="1:31" x14ac:dyDescent="0.25">
      <c r="A82" s="11">
        <f t="shared" si="37"/>
        <v>75</v>
      </c>
      <c r="B82" s="3" t="s">
        <v>44</v>
      </c>
      <c r="C82" s="5" t="s">
        <v>112</v>
      </c>
      <c r="D82" s="5">
        <f>AA82/$C$127</f>
        <v>215.38461538461539</v>
      </c>
      <c r="E82" s="6">
        <v>1900</v>
      </c>
      <c r="F82" s="5" t="str">
        <f t="shared" si="30"/>
        <v>*</v>
      </c>
      <c r="G82" s="6">
        <v>5200</v>
      </c>
      <c r="H82" s="13">
        <f t="shared" si="33"/>
        <v>7315.3846153846152</v>
      </c>
      <c r="I82" s="94">
        <f t="shared" si="38"/>
        <v>5790.0602873030584</v>
      </c>
      <c r="J82" s="94">
        <f t="shared" si="39"/>
        <v>8800.8916367006495</v>
      </c>
      <c r="K82" s="94">
        <f t="shared" si="40"/>
        <v>12274.927809082485</v>
      </c>
      <c r="L82" s="94">
        <f t="shared" si="41"/>
        <v>169.2479160903971</v>
      </c>
      <c r="M82" s="94">
        <f t="shared" si="42"/>
        <v>236.05630402081701</v>
      </c>
      <c r="N82" s="94">
        <f t="shared" si="43"/>
        <v>10.8419894246379</v>
      </c>
      <c r="O82" s="96">
        <f t="shared" si="44"/>
        <v>2.6020774619130957</v>
      </c>
      <c r="P82" s="97">
        <f t="shared" si="45"/>
        <v>4.4963105527774669E-3</v>
      </c>
      <c r="Q82" s="94">
        <f t="shared" si="46"/>
        <v>10.956115629107773</v>
      </c>
      <c r="R82" s="94">
        <f t="shared" si="47"/>
        <v>8.972680903148607</v>
      </c>
      <c r="S82" s="11"/>
      <c r="T82" s="13">
        <v>0</v>
      </c>
      <c r="U82" s="13">
        <f>AA82*$C$126/$C$127</f>
        <v>861.53846153846155</v>
      </c>
      <c r="V82" s="13">
        <f>E82*$C$130</f>
        <v>9500</v>
      </c>
      <c r="W82" s="13">
        <v>0</v>
      </c>
      <c r="X82" s="13">
        <f t="shared" si="34"/>
        <v>4026554.2168674702</v>
      </c>
      <c r="Y82" s="13">
        <f t="shared" si="35"/>
        <v>4036915.7553290087</v>
      </c>
      <c r="Z82" s="33">
        <f t="shared" si="36"/>
        <v>551.83916739513268</v>
      </c>
      <c r="AA82" s="5">
        <v>1400</v>
      </c>
      <c r="AB82" s="5" t="s">
        <v>102</v>
      </c>
      <c r="AC82" s="11"/>
      <c r="AD82" s="11"/>
      <c r="AE82" s="11"/>
    </row>
    <row r="83" spans="1:31" x14ac:dyDescent="0.25">
      <c r="A83" s="11">
        <f t="shared" si="37"/>
        <v>76</v>
      </c>
      <c r="B83" s="3" t="s">
        <v>92</v>
      </c>
      <c r="C83" s="5" t="s">
        <v>112</v>
      </c>
      <c r="D83" s="5" t="str">
        <f>AA83</f>
        <v>*</v>
      </c>
      <c r="E83" s="6" t="s">
        <v>103</v>
      </c>
      <c r="F83" s="5" t="str">
        <f t="shared" si="30"/>
        <v>*</v>
      </c>
      <c r="G83" s="6">
        <v>7500</v>
      </c>
      <c r="H83" s="13">
        <f t="shared" si="33"/>
        <v>7500</v>
      </c>
      <c r="I83" s="94">
        <f t="shared" si="38"/>
        <v>8290.9608433734957</v>
      </c>
      <c r="J83" s="94">
        <f t="shared" si="39"/>
        <v>12602.260481927713</v>
      </c>
      <c r="K83" s="94">
        <f t="shared" si="40"/>
        <v>17576.83698795181</v>
      </c>
      <c r="L83" s="94">
        <f t="shared" si="41"/>
        <v>242.35116311399449</v>
      </c>
      <c r="M83" s="94">
        <f t="shared" si="42"/>
        <v>338.01609592215021</v>
      </c>
      <c r="N83" s="94">
        <f t="shared" si="43"/>
        <v>15.524969572607386</v>
      </c>
      <c r="O83" s="96">
        <f t="shared" si="44"/>
        <v>3.7259926974257724</v>
      </c>
      <c r="P83" s="97">
        <f t="shared" si="45"/>
        <v>6.4384018270885754E-3</v>
      </c>
      <c r="Q83" s="94">
        <f t="shared" si="46"/>
        <v>15.688390304950621</v>
      </c>
      <c r="R83" s="94">
        <f t="shared" si="47"/>
        <v>12.848250680778525</v>
      </c>
      <c r="S83" s="11"/>
      <c r="T83" s="13">
        <v>0</v>
      </c>
      <c r="U83" s="13">
        <v>0</v>
      </c>
      <c r="V83" s="13">
        <v>0</v>
      </c>
      <c r="W83" s="13">
        <v>0</v>
      </c>
      <c r="X83" s="13">
        <f t="shared" si="34"/>
        <v>5807530.1204819279</v>
      </c>
      <c r="Y83" s="13">
        <f t="shared" si="35"/>
        <v>5807530.1204819279</v>
      </c>
      <c r="Z83" s="33">
        <f t="shared" si="36"/>
        <v>774.3373493975904</v>
      </c>
      <c r="AA83" s="5" t="s">
        <v>102</v>
      </c>
      <c r="AB83" s="5" t="s">
        <v>102</v>
      </c>
      <c r="AC83" s="11"/>
      <c r="AD83" s="11"/>
      <c r="AE83" s="11"/>
    </row>
    <row r="84" spans="1:31" x14ac:dyDescent="0.25">
      <c r="A84" s="11">
        <f t="shared" si="37"/>
        <v>77</v>
      </c>
      <c r="B84" s="3" t="s">
        <v>87</v>
      </c>
      <c r="C84" s="5" t="s">
        <v>112</v>
      </c>
      <c r="D84" s="5">
        <f>AA84/$C$127</f>
        <v>369.23076923076923</v>
      </c>
      <c r="E84" s="6">
        <v>1900</v>
      </c>
      <c r="F84" s="5" t="str">
        <f t="shared" si="30"/>
        <v>*</v>
      </c>
      <c r="G84" s="6">
        <v>2400</v>
      </c>
      <c r="H84" s="13">
        <f t="shared" si="33"/>
        <v>4669.2307692307695</v>
      </c>
      <c r="I84" s="94">
        <f t="shared" si="38"/>
        <v>2695.07593141798</v>
      </c>
      <c r="J84" s="94">
        <f t="shared" si="39"/>
        <v>4096.5154157553297</v>
      </c>
      <c r="K84" s="94">
        <f t="shared" si="40"/>
        <v>5713.5609746061182</v>
      </c>
      <c r="L84" s="94">
        <f t="shared" si="41"/>
        <v>78.779142610679415</v>
      </c>
      <c r="M84" s="94">
        <f t="shared" si="42"/>
        <v>109.87617258857919</v>
      </c>
      <c r="N84" s="94">
        <f t="shared" si="43"/>
        <v>5.0465769434397725</v>
      </c>
      <c r="O84" s="96">
        <f t="shared" si="44"/>
        <v>1.2111784664255454</v>
      </c>
      <c r="P84" s="97">
        <f t="shared" si="45"/>
        <v>2.092879477877699E-3</v>
      </c>
      <c r="Q84" s="94">
        <f t="shared" si="46"/>
        <v>5.0996988060022961</v>
      </c>
      <c r="R84" s="94">
        <f t="shared" si="47"/>
        <v>4.1764774704329151</v>
      </c>
      <c r="S84" s="11"/>
      <c r="T84" s="13">
        <v>0</v>
      </c>
      <c r="U84" s="13">
        <f>AA84*$C$126/$C$127</f>
        <v>1476.9230769230769</v>
      </c>
      <c r="V84" s="13">
        <f>E84*$C$130</f>
        <v>9500</v>
      </c>
      <c r="W84" s="13">
        <v>0</v>
      </c>
      <c r="X84" s="13">
        <f t="shared" si="34"/>
        <v>1858409.6385542171</v>
      </c>
      <c r="Y84" s="13">
        <f t="shared" si="35"/>
        <v>1869386.5616311401</v>
      </c>
      <c r="Z84" s="33">
        <f t="shared" si="36"/>
        <v>400.36285504456043</v>
      </c>
      <c r="AA84" s="5">
        <v>2400</v>
      </c>
      <c r="AB84" s="5" t="s">
        <v>102</v>
      </c>
      <c r="AC84" s="11"/>
      <c r="AD84" s="11"/>
      <c r="AE84" s="11"/>
    </row>
    <row r="85" spans="1:31" x14ac:dyDescent="0.25">
      <c r="A85" s="11">
        <f t="shared" si="37"/>
        <v>78</v>
      </c>
      <c r="B85" s="3" t="s">
        <v>33</v>
      </c>
      <c r="C85" s="5" t="s">
        <v>112</v>
      </c>
      <c r="D85" s="5" t="str">
        <f>AA85</f>
        <v>*</v>
      </c>
      <c r="E85" s="6">
        <v>2800</v>
      </c>
      <c r="F85" s="5" t="str">
        <f t="shared" si="30"/>
        <v>*</v>
      </c>
      <c r="G85" s="6">
        <v>3800</v>
      </c>
      <c r="H85" s="13">
        <f t="shared" si="33"/>
        <v>6600</v>
      </c>
      <c r="I85" s="94">
        <f t="shared" si="38"/>
        <v>4261.5134939759046</v>
      </c>
      <c r="J85" s="94">
        <f t="shared" si="39"/>
        <v>6477.5005108433752</v>
      </c>
      <c r="K85" s="94">
        <f t="shared" si="40"/>
        <v>9034.4086072289174</v>
      </c>
      <c r="L85" s="94">
        <f t="shared" si="41"/>
        <v>124.56731751621875</v>
      </c>
      <c r="M85" s="94">
        <f t="shared" si="42"/>
        <v>173.73862706209457</v>
      </c>
      <c r="N85" s="94">
        <f t="shared" si="43"/>
        <v>7.9797587489644952</v>
      </c>
      <c r="O85" s="96">
        <f t="shared" si="44"/>
        <v>1.9151420997514788</v>
      </c>
      <c r="P85" s="97">
        <f t="shared" si="45"/>
        <v>3.3093071821351347E-3</v>
      </c>
      <c r="Q85" s="94">
        <f t="shared" si="46"/>
        <v>8.0637562094799122</v>
      </c>
      <c r="R85" s="94">
        <f t="shared" si="47"/>
        <v>6.6039382750050999</v>
      </c>
      <c r="S85" s="11"/>
      <c r="T85" s="13">
        <v>0</v>
      </c>
      <c r="U85" s="13">
        <v>0</v>
      </c>
      <c r="V85" s="13">
        <f>E85*$C$130</f>
        <v>14000</v>
      </c>
      <c r="W85" s="13">
        <v>0</v>
      </c>
      <c r="X85" s="13">
        <f t="shared" si="34"/>
        <v>2942481.9277108437</v>
      </c>
      <c r="Y85" s="13">
        <f t="shared" si="35"/>
        <v>2956481.9277108437</v>
      </c>
      <c r="Z85" s="33">
        <f t="shared" si="36"/>
        <v>447.9518072289157</v>
      </c>
      <c r="AA85" s="5" t="s">
        <v>102</v>
      </c>
      <c r="AB85" s="5" t="s">
        <v>102</v>
      </c>
      <c r="AC85" s="11"/>
      <c r="AD85" s="11"/>
      <c r="AE85" s="11"/>
    </row>
    <row r="86" spans="1:31" x14ac:dyDescent="0.25">
      <c r="A86" s="11">
        <f t="shared" si="37"/>
        <v>79</v>
      </c>
      <c r="B86" s="3" t="s">
        <v>49</v>
      </c>
      <c r="C86" s="5" t="s">
        <v>112</v>
      </c>
      <c r="D86" s="5">
        <f>AA86/$C$127</f>
        <v>476.92307692307691</v>
      </c>
      <c r="E86" s="6">
        <v>1300</v>
      </c>
      <c r="F86" s="5" t="str">
        <f t="shared" si="30"/>
        <v>*</v>
      </c>
      <c r="G86" s="6">
        <v>1700</v>
      </c>
      <c r="H86" s="13">
        <f t="shared" si="33"/>
        <v>3476.9230769230771</v>
      </c>
      <c r="I86" s="94">
        <f t="shared" si="38"/>
        <v>1908.4483039851716</v>
      </c>
      <c r="J86" s="94">
        <f t="shared" si="39"/>
        <v>2900.8414220574609</v>
      </c>
      <c r="K86" s="94">
        <f t="shared" si="40"/>
        <v>4045.9104044485639</v>
      </c>
      <c r="L86" s="94">
        <f t="shared" si="41"/>
        <v>55.785411962643479</v>
      </c>
      <c r="M86" s="94">
        <f t="shared" si="42"/>
        <v>77.805969316318539</v>
      </c>
      <c r="N86" s="94">
        <f t="shared" si="43"/>
        <v>3.5736029164755321</v>
      </c>
      <c r="O86" s="96">
        <f t="shared" si="44"/>
        <v>0.85766469995412764</v>
      </c>
      <c r="P86" s="97">
        <f t="shared" si="45"/>
        <v>1.4820184631679722E-3</v>
      </c>
      <c r="Q86" s="94">
        <f t="shared" si="46"/>
        <v>3.611219789280538</v>
      </c>
      <c r="R86" s="94">
        <f t="shared" si="47"/>
        <v>2.9574644826004404</v>
      </c>
      <c r="S86" s="11"/>
      <c r="T86" s="13">
        <v>0</v>
      </c>
      <c r="U86" s="13">
        <f>AA86*$C$126/$C$127</f>
        <v>1907.6923076923076</v>
      </c>
      <c r="V86" s="13">
        <f>E86*$C$130</f>
        <v>6500</v>
      </c>
      <c r="W86" s="13">
        <v>0</v>
      </c>
      <c r="X86" s="13">
        <f t="shared" si="34"/>
        <v>1316373.4939759036</v>
      </c>
      <c r="Y86" s="13">
        <f t="shared" si="35"/>
        <v>1324781.1862835959</v>
      </c>
      <c r="Z86" s="33">
        <f t="shared" si="36"/>
        <v>381.02113764793683</v>
      </c>
      <c r="AA86" s="5">
        <v>3100</v>
      </c>
      <c r="AB86" s="5" t="s">
        <v>102</v>
      </c>
      <c r="AC86" s="11"/>
      <c r="AD86" s="11"/>
      <c r="AE86" s="11"/>
    </row>
    <row r="87" spans="1:31" x14ac:dyDescent="0.25">
      <c r="A87" s="11">
        <f t="shared" si="37"/>
        <v>80</v>
      </c>
      <c r="B87" s="3" t="s">
        <v>99</v>
      </c>
      <c r="C87" s="5" t="s">
        <v>112</v>
      </c>
      <c r="D87" s="5" t="str">
        <f t="shared" ref="D87:D108" si="48">AA87</f>
        <v>*</v>
      </c>
      <c r="E87" s="6">
        <v>1200</v>
      </c>
      <c r="F87" s="5" t="str">
        <f t="shared" ref="F87:F108" si="49">AB87</f>
        <v>*</v>
      </c>
      <c r="G87" s="6">
        <v>3900</v>
      </c>
      <c r="H87" s="13">
        <f t="shared" si="33"/>
        <v>5100</v>
      </c>
      <c r="I87" s="94">
        <f t="shared" si="38"/>
        <v>4337.3396385542173</v>
      </c>
      <c r="J87" s="94">
        <f t="shared" si="39"/>
        <v>6592.7562506024105</v>
      </c>
      <c r="K87" s="94">
        <f t="shared" si="40"/>
        <v>9195.160033734941</v>
      </c>
      <c r="L87" s="94">
        <f t="shared" si="41"/>
        <v>126.78377405004636</v>
      </c>
      <c r="M87" s="94">
        <f t="shared" si="42"/>
        <v>176.83000064874886</v>
      </c>
      <c r="N87" s="94">
        <f t="shared" si="43"/>
        <v>8.121744534403021</v>
      </c>
      <c r="O87" s="96">
        <f t="shared" si="44"/>
        <v>1.9492186882567248</v>
      </c>
      <c r="P87" s="97">
        <f t="shared" si="45"/>
        <v>3.3681904885475974E-3</v>
      </c>
      <c r="Q87" s="94">
        <f t="shared" si="46"/>
        <v>8.2072365821335787</v>
      </c>
      <c r="R87" s="94">
        <f t="shared" si="47"/>
        <v>6.721443752609396</v>
      </c>
      <c r="S87" s="11"/>
      <c r="T87" s="13">
        <v>0</v>
      </c>
      <c r="U87" s="13">
        <v>0</v>
      </c>
      <c r="V87" s="13">
        <f>E87*$C$130</f>
        <v>6000</v>
      </c>
      <c r="W87" s="13">
        <v>0</v>
      </c>
      <c r="X87" s="13">
        <f t="shared" si="34"/>
        <v>3019915.6626506024</v>
      </c>
      <c r="Y87" s="13">
        <f t="shared" si="35"/>
        <v>3025915.6626506024</v>
      </c>
      <c r="Z87" s="33">
        <f t="shared" si="36"/>
        <v>593.31679659815734</v>
      </c>
      <c r="AA87" s="5" t="s">
        <v>102</v>
      </c>
      <c r="AB87" s="5" t="s">
        <v>102</v>
      </c>
      <c r="AC87" s="11"/>
      <c r="AD87" s="11"/>
      <c r="AE87" s="11"/>
    </row>
    <row r="88" spans="1:31" x14ac:dyDescent="0.25">
      <c r="A88" s="11">
        <f t="shared" si="37"/>
        <v>81</v>
      </c>
      <c r="B88" s="3" t="s">
        <v>31</v>
      </c>
      <c r="C88" s="5" t="s">
        <v>112</v>
      </c>
      <c r="D88" s="5" t="str">
        <f t="shared" si="48"/>
        <v>(D)</v>
      </c>
      <c r="E88" s="6">
        <v>2500</v>
      </c>
      <c r="F88" s="5" t="str">
        <f t="shared" si="49"/>
        <v>*</v>
      </c>
      <c r="G88" s="6">
        <v>2200</v>
      </c>
      <c r="H88" s="13">
        <f t="shared" si="33"/>
        <v>4700</v>
      </c>
      <c r="I88" s="94">
        <f t="shared" si="38"/>
        <v>2486.2651807228917</v>
      </c>
      <c r="J88" s="94">
        <f t="shared" si="39"/>
        <v>3779.1230746987953</v>
      </c>
      <c r="K88" s="94">
        <f t="shared" si="40"/>
        <v>5270.8821831325304</v>
      </c>
      <c r="L88" s="94">
        <f t="shared" si="41"/>
        <v>72.675443744207598</v>
      </c>
      <c r="M88" s="94">
        <f t="shared" si="42"/>
        <v>101.36311890639482</v>
      </c>
      <c r="N88" s="94">
        <f t="shared" si="43"/>
        <v>4.6555751509797911</v>
      </c>
      <c r="O88" s="96">
        <f t="shared" si="44"/>
        <v>1.1173380362351497</v>
      </c>
      <c r="P88" s="97">
        <f t="shared" si="45"/>
        <v>1.9307260744075203E-3</v>
      </c>
      <c r="Q88" s="94">
        <f t="shared" si="46"/>
        <v>4.7045812052006308</v>
      </c>
      <c r="R88" s="94">
        <f t="shared" si="47"/>
        <v>3.8528897801212061</v>
      </c>
      <c r="S88" s="11"/>
      <c r="T88" s="13">
        <v>0</v>
      </c>
      <c r="U88" s="13">
        <v>0</v>
      </c>
      <c r="V88" s="13">
        <f>E88*$C$130</f>
        <v>12500</v>
      </c>
      <c r="W88" s="13">
        <v>0</v>
      </c>
      <c r="X88" s="13">
        <f t="shared" si="34"/>
        <v>1703542.1686746988</v>
      </c>
      <c r="Y88" s="13">
        <f t="shared" si="35"/>
        <v>1716042.1686746988</v>
      </c>
      <c r="Z88" s="33">
        <f t="shared" si="36"/>
        <v>365.11535503716993</v>
      </c>
      <c r="AA88" s="5" t="s">
        <v>103</v>
      </c>
      <c r="AB88" s="5" t="s">
        <v>102</v>
      </c>
      <c r="AC88" s="11"/>
      <c r="AD88" s="11"/>
      <c r="AE88" s="11"/>
    </row>
    <row r="89" spans="1:31" x14ac:dyDescent="0.25">
      <c r="A89" s="11">
        <f t="shared" si="37"/>
        <v>82</v>
      </c>
      <c r="B89" s="3" t="s">
        <v>19</v>
      </c>
      <c r="C89" s="5" t="s">
        <v>112</v>
      </c>
      <c r="D89" s="5" t="str">
        <f t="shared" si="48"/>
        <v>*</v>
      </c>
      <c r="E89" s="6" t="s">
        <v>103</v>
      </c>
      <c r="F89" s="5" t="str">
        <f t="shared" si="49"/>
        <v>*</v>
      </c>
      <c r="G89" s="6">
        <v>4600</v>
      </c>
      <c r="H89" s="13">
        <f t="shared" si="33"/>
        <v>4600</v>
      </c>
      <c r="I89" s="94">
        <f t="shared" si="38"/>
        <v>5085.1226506024104</v>
      </c>
      <c r="J89" s="94">
        <f t="shared" si="39"/>
        <v>7729.3864289156636</v>
      </c>
      <c r="K89" s="94">
        <f t="shared" si="40"/>
        <v>10780.46001927711</v>
      </c>
      <c r="L89" s="94">
        <f t="shared" si="41"/>
        <v>148.6420467099166</v>
      </c>
      <c r="M89" s="94">
        <f t="shared" si="42"/>
        <v>207.31653883225212</v>
      </c>
      <c r="N89" s="94">
        <f t="shared" si="43"/>
        <v>9.5219813378658635</v>
      </c>
      <c r="O89" s="96">
        <f t="shared" si="44"/>
        <v>2.2852755210878071</v>
      </c>
      <c r="P89" s="97">
        <f t="shared" si="45"/>
        <v>3.9488864539476594E-3</v>
      </c>
      <c r="Q89" s="94">
        <f t="shared" si="46"/>
        <v>9.6222127203697152</v>
      </c>
      <c r="R89" s="94">
        <f t="shared" si="47"/>
        <v>7.8802604175441626</v>
      </c>
      <c r="S89" s="11"/>
      <c r="T89" s="13">
        <v>0</v>
      </c>
      <c r="U89" s="13">
        <v>0</v>
      </c>
      <c r="V89" s="13">
        <v>0</v>
      </c>
      <c r="W89" s="13">
        <v>0</v>
      </c>
      <c r="X89" s="13">
        <f t="shared" si="34"/>
        <v>3561951.8072289159</v>
      </c>
      <c r="Y89" s="13">
        <f t="shared" si="35"/>
        <v>3561951.8072289159</v>
      </c>
      <c r="Z89" s="33">
        <f t="shared" si="36"/>
        <v>774.3373493975904</v>
      </c>
      <c r="AA89" s="5" t="s">
        <v>102</v>
      </c>
      <c r="AB89" s="5" t="s">
        <v>102</v>
      </c>
      <c r="AC89" s="11"/>
      <c r="AD89" s="11"/>
      <c r="AE89" s="11"/>
    </row>
    <row r="90" spans="1:31" x14ac:dyDescent="0.25">
      <c r="A90" s="11">
        <f t="shared" si="37"/>
        <v>83</v>
      </c>
      <c r="B90" s="3" t="s">
        <v>74</v>
      </c>
      <c r="C90" s="5" t="s">
        <v>102</v>
      </c>
      <c r="D90" s="5" t="str">
        <f t="shared" si="48"/>
        <v>*</v>
      </c>
      <c r="E90" s="6">
        <v>1300</v>
      </c>
      <c r="F90" s="5" t="str">
        <f t="shared" si="49"/>
        <v>*</v>
      </c>
      <c r="G90" s="6">
        <v>3300</v>
      </c>
      <c r="H90" s="13">
        <f t="shared" si="33"/>
        <v>4600</v>
      </c>
      <c r="I90" s="94">
        <f t="shared" si="38"/>
        <v>3676.2327710843379</v>
      </c>
      <c r="J90" s="94">
        <f t="shared" si="39"/>
        <v>5587.8738120481939</v>
      </c>
      <c r="K90" s="94">
        <f t="shared" si="40"/>
        <v>7793.6134746987964</v>
      </c>
      <c r="L90" s="94">
        <f t="shared" si="41"/>
        <v>107.45911177015758</v>
      </c>
      <c r="M90" s="94">
        <f t="shared" si="42"/>
        <v>149.8771822057461</v>
      </c>
      <c r="N90" s="94">
        <f t="shared" si="43"/>
        <v>6.8838103316483616</v>
      </c>
      <c r="O90" s="96">
        <f t="shared" si="44"/>
        <v>1.6521144795956066</v>
      </c>
      <c r="P90" s="97">
        <f t="shared" si="45"/>
        <v>2.8548034705856398E-3</v>
      </c>
      <c r="Q90" s="94">
        <f t="shared" si="46"/>
        <v>6.9562714930341336</v>
      </c>
      <c r="R90" s="94">
        <f t="shared" si="47"/>
        <v>5.6969464813641615</v>
      </c>
      <c r="S90" s="11"/>
      <c r="T90" s="13">
        <v>0</v>
      </c>
      <c r="U90" s="13">
        <v>0</v>
      </c>
      <c r="V90" s="13">
        <f>E90*$C$130</f>
        <v>6500</v>
      </c>
      <c r="W90" s="13">
        <v>0</v>
      </c>
      <c r="X90" s="13">
        <f t="shared" si="34"/>
        <v>2555313.2530120485</v>
      </c>
      <c r="Y90" s="13">
        <f t="shared" si="35"/>
        <v>2561813.2530120485</v>
      </c>
      <c r="Z90" s="33">
        <f t="shared" si="36"/>
        <v>556.91592456783667</v>
      </c>
      <c r="AA90" s="5" t="s">
        <v>102</v>
      </c>
      <c r="AB90" s="5" t="s">
        <v>102</v>
      </c>
      <c r="AC90" s="11"/>
      <c r="AD90" s="11"/>
      <c r="AE90" s="11"/>
    </row>
    <row r="91" spans="1:31" x14ac:dyDescent="0.25">
      <c r="A91" s="11">
        <f t="shared" si="37"/>
        <v>84</v>
      </c>
      <c r="B91" s="3" t="s">
        <v>56</v>
      </c>
      <c r="C91" s="5" t="s">
        <v>112</v>
      </c>
      <c r="D91" s="5" t="str">
        <f t="shared" si="48"/>
        <v>*</v>
      </c>
      <c r="E91" s="6">
        <v>1200</v>
      </c>
      <c r="F91" s="5" t="str">
        <f t="shared" si="49"/>
        <v>*</v>
      </c>
      <c r="G91" s="6">
        <v>2800</v>
      </c>
      <c r="H91" s="13">
        <f t="shared" si="33"/>
        <v>4000</v>
      </c>
      <c r="I91" s="94">
        <f t="shared" si="38"/>
        <v>3121.3320481927713</v>
      </c>
      <c r="J91" s="94">
        <f t="shared" si="39"/>
        <v>4744.4247132530127</v>
      </c>
      <c r="K91" s="94">
        <f t="shared" si="40"/>
        <v>6617.2239421686754</v>
      </c>
      <c r="L91" s="94">
        <f t="shared" si="41"/>
        <v>91.23893679332717</v>
      </c>
      <c r="M91" s="94">
        <f t="shared" si="42"/>
        <v>127.25430658016684</v>
      </c>
      <c r="N91" s="94">
        <f t="shared" si="43"/>
        <v>5.8447489970872706</v>
      </c>
      <c r="O91" s="96">
        <f t="shared" si="44"/>
        <v>1.402739759300945</v>
      </c>
      <c r="P91" s="97">
        <f t="shared" si="45"/>
        <v>2.42389155390794E-3</v>
      </c>
      <c r="Q91" s="94">
        <f t="shared" si="46"/>
        <v>5.9062726707408206</v>
      </c>
      <c r="R91" s="94">
        <f t="shared" si="47"/>
        <v>4.8370336527618791</v>
      </c>
      <c r="S91" s="11"/>
      <c r="T91" s="13">
        <v>0</v>
      </c>
      <c r="U91" s="13">
        <v>0</v>
      </c>
      <c r="V91" s="13">
        <f>E91*$C$130</f>
        <v>6000</v>
      </c>
      <c r="W91" s="13">
        <v>0</v>
      </c>
      <c r="X91" s="13">
        <f t="shared" si="34"/>
        <v>2168144.5783132534</v>
      </c>
      <c r="Y91" s="13">
        <f t="shared" si="35"/>
        <v>2174144.5783132534</v>
      </c>
      <c r="Z91" s="33">
        <f t="shared" si="36"/>
        <v>543.53614457831338</v>
      </c>
      <c r="AA91" s="5" t="s">
        <v>102</v>
      </c>
      <c r="AB91" s="5" t="s">
        <v>102</v>
      </c>
      <c r="AC91" s="11"/>
      <c r="AD91" s="11"/>
      <c r="AE91" s="11"/>
    </row>
    <row r="92" spans="1:31" x14ac:dyDescent="0.25">
      <c r="A92" s="11">
        <f t="shared" si="37"/>
        <v>85</v>
      </c>
      <c r="B92" s="3" t="s">
        <v>59</v>
      </c>
      <c r="C92" s="5"/>
      <c r="D92" s="5" t="str">
        <f t="shared" si="48"/>
        <v>*</v>
      </c>
      <c r="E92" s="6" t="s">
        <v>102</v>
      </c>
      <c r="F92" s="5" t="str">
        <f t="shared" si="49"/>
        <v>*</v>
      </c>
      <c r="G92" s="6">
        <v>2100</v>
      </c>
      <c r="H92" s="13">
        <f t="shared" si="33"/>
        <v>2100</v>
      </c>
      <c r="I92" s="94">
        <f t="shared" si="38"/>
        <v>2321.4690361445787</v>
      </c>
      <c r="J92" s="94">
        <f t="shared" si="39"/>
        <v>3528.6329349397597</v>
      </c>
      <c r="K92" s="94">
        <f t="shared" si="40"/>
        <v>4921.5143566265069</v>
      </c>
      <c r="L92" s="94">
        <f t="shared" si="41"/>
        <v>67.85832567191845</v>
      </c>
      <c r="M92" s="94">
        <f t="shared" si="42"/>
        <v>94.64450685820205</v>
      </c>
      <c r="N92" s="94">
        <f t="shared" si="43"/>
        <v>4.3469914803300673</v>
      </c>
      <c r="O92" s="96">
        <f t="shared" si="44"/>
        <v>1.0432779552792162</v>
      </c>
      <c r="P92" s="97">
        <f t="shared" si="45"/>
        <v>1.8027525115848009E-3</v>
      </c>
      <c r="Q92" s="94">
        <f t="shared" si="46"/>
        <v>4.3927492853861736</v>
      </c>
      <c r="R92" s="94">
        <f t="shared" si="47"/>
        <v>3.5975101906179869</v>
      </c>
      <c r="S92" s="11"/>
      <c r="T92" s="13">
        <f>C92*$F$122</f>
        <v>0</v>
      </c>
      <c r="U92" s="13">
        <v>0</v>
      </c>
      <c r="V92" s="13">
        <v>0</v>
      </c>
      <c r="W92" s="13">
        <v>0</v>
      </c>
      <c r="X92" s="13">
        <f t="shared" si="34"/>
        <v>1626108.4337349399</v>
      </c>
      <c r="Y92" s="13">
        <f t="shared" si="35"/>
        <v>1626108.4337349399</v>
      </c>
      <c r="Z92" s="33">
        <f t="shared" si="36"/>
        <v>774.3373493975904</v>
      </c>
      <c r="AA92" s="5" t="s">
        <v>102</v>
      </c>
      <c r="AB92" s="5" t="s">
        <v>102</v>
      </c>
      <c r="AC92" s="11"/>
      <c r="AD92" s="11"/>
      <c r="AE92" s="11"/>
    </row>
    <row r="93" spans="1:31" x14ac:dyDescent="0.25">
      <c r="A93" s="11">
        <f t="shared" si="37"/>
        <v>86</v>
      </c>
      <c r="B93" s="3" t="s">
        <v>15</v>
      </c>
      <c r="C93" s="5" t="s">
        <v>112</v>
      </c>
      <c r="D93" s="5" t="str">
        <f t="shared" si="48"/>
        <v>*</v>
      </c>
      <c r="E93" s="6">
        <v>1400</v>
      </c>
      <c r="F93" s="5" t="str">
        <f t="shared" si="49"/>
        <v>*</v>
      </c>
      <c r="G93" s="6">
        <v>300</v>
      </c>
      <c r="H93" s="13">
        <f t="shared" si="33"/>
        <v>1700</v>
      </c>
      <c r="I93" s="94">
        <f t="shared" si="38"/>
        <v>362.01843373493978</v>
      </c>
      <c r="J93" s="94">
        <f t="shared" si="39"/>
        <v>550.26801927710846</v>
      </c>
      <c r="K93" s="94">
        <f t="shared" si="40"/>
        <v>767.47907951807235</v>
      </c>
      <c r="L93" s="94">
        <f t="shared" si="41"/>
        <v>10.582077293790547</v>
      </c>
      <c r="M93" s="94">
        <f t="shared" si="42"/>
        <v>14.759213067655237</v>
      </c>
      <c r="N93" s="94">
        <f t="shared" si="43"/>
        <v>0.67788586565933873</v>
      </c>
      <c r="O93" s="96">
        <f t="shared" si="44"/>
        <v>0.16269260775824129</v>
      </c>
      <c r="P93" s="97">
        <f t="shared" si="45"/>
        <v>2.8112786795533786E-4</v>
      </c>
      <c r="Q93" s="94">
        <f t="shared" si="46"/>
        <v>0.68502150635048964</v>
      </c>
      <c r="R93" s="94">
        <f t="shared" si="47"/>
        <v>0.5610089922697975</v>
      </c>
      <c r="S93" s="11"/>
      <c r="T93" s="13">
        <v>0</v>
      </c>
      <c r="U93" s="13">
        <v>0</v>
      </c>
      <c r="V93" s="13">
        <f>E93*$C$130</f>
        <v>7000</v>
      </c>
      <c r="W93" s="13">
        <v>0</v>
      </c>
      <c r="X93" s="13">
        <f t="shared" si="34"/>
        <v>232301.20481927713</v>
      </c>
      <c r="Y93" s="13">
        <f t="shared" si="35"/>
        <v>239301.20481927713</v>
      </c>
      <c r="Z93" s="33">
        <f t="shared" si="36"/>
        <v>140.7654145995748</v>
      </c>
      <c r="AA93" s="5" t="s">
        <v>102</v>
      </c>
      <c r="AB93" s="5" t="s">
        <v>102</v>
      </c>
      <c r="AC93" s="11"/>
      <c r="AD93" s="11"/>
      <c r="AE93" s="11"/>
    </row>
    <row r="94" spans="1:31" x14ac:dyDescent="0.25">
      <c r="A94" s="11">
        <f t="shared" si="37"/>
        <v>87</v>
      </c>
      <c r="B94" s="3" t="s">
        <v>21</v>
      </c>
      <c r="C94" s="5" t="s">
        <v>112</v>
      </c>
      <c r="D94" s="5" t="str">
        <f t="shared" si="48"/>
        <v>*</v>
      </c>
      <c r="E94" s="6" t="s">
        <v>102</v>
      </c>
      <c r="F94" s="5" t="str">
        <f t="shared" si="49"/>
        <v>*</v>
      </c>
      <c r="G94" s="6">
        <v>1700</v>
      </c>
      <c r="H94" s="13">
        <f t="shared" si="33"/>
        <v>1700</v>
      </c>
      <c r="I94" s="94">
        <f t="shared" si="38"/>
        <v>1879.2844578313254</v>
      </c>
      <c r="J94" s="94">
        <f t="shared" si="39"/>
        <v>2856.5123759036146</v>
      </c>
      <c r="K94" s="94">
        <f t="shared" si="40"/>
        <v>3984.0830506024099</v>
      </c>
      <c r="L94" s="94">
        <f t="shared" si="41"/>
        <v>54.932930305838745</v>
      </c>
      <c r="M94" s="94">
        <f t="shared" si="42"/>
        <v>76.616981742354042</v>
      </c>
      <c r="N94" s="94">
        <f t="shared" si="43"/>
        <v>3.5189931031243407</v>
      </c>
      <c r="O94" s="96">
        <f t="shared" si="44"/>
        <v>0.84455834474984171</v>
      </c>
      <c r="P94" s="97">
        <f t="shared" si="45"/>
        <v>1.4593710808067436E-3</v>
      </c>
      <c r="Q94" s="94">
        <f t="shared" si="46"/>
        <v>3.5560351357888074</v>
      </c>
      <c r="R94" s="94">
        <f t="shared" si="47"/>
        <v>2.9122701543097991</v>
      </c>
      <c r="S94" s="11"/>
      <c r="T94" s="13">
        <v>0</v>
      </c>
      <c r="U94" s="13">
        <v>0</v>
      </c>
      <c r="V94" s="13">
        <v>0</v>
      </c>
      <c r="W94" s="13">
        <v>0</v>
      </c>
      <c r="X94" s="13">
        <f t="shared" si="34"/>
        <v>1316373.4939759036</v>
      </c>
      <c r="Y94" s="13">
        <f t="shared" si="35"/>
        <v>1316373.4939759036</v>
      </c>
      <c r="Z94" s="33">
        <f t="shared" si="36"/>
        <v>774.3373493975904</v>
      </c>
      <c r="AA94" s="5" t="s">
        <v>102</v>
      </c>
      <c r="AB94" s="5" t="s">
        <v>102</v>
      </c>
      <c r="AC94" s="11"/>
      <c r="AD94" s="11"/>
      <c r="AE94" s="11"/>
    </row>
    <row r="95" spans="1:31" x14ac:dyDescent="0.25">
      <c r="A95" s="11">
        <f t="shared" si="37"/>
        <v>88</v>
      </c>
      <c r="B95" s="3" t="s">
        <v>90</v>
      </c>
      <c r="C95" s="5" t="s">
        <v>112</v>
      </c>
      <c r="D95" s="5" t="str">
        <f t="shared" si="48"/>
        <v>*</v>
      </c>
      <c r="E95" s="6" t="s">
        <v>102</v>
      </c>
      <c r="F95" s="5" t="str">
        <f t="shared" si="49"/>
        <v>*</v>
      </c>
      <c r="G95" s="6">
        <v>1600</v>
      </c>
      <c r="H95" s="13">
        <f t="shared" si="33"/>
        <v>1600</v>
      </c>
      <c r="I95" s="94">
        <f t="shared" si="38"/>
        <v>1768.7383132530122</v>
      </c>
      <c r="J95" s="94">
        <f t="shared" si="39"/>
        <v>2688.4822361445786</v>
      </c>
      <c r="K95" s="94">
        <f t="shared" si="40"/>
        <v>3749.7252240963858</v>
      </c>
      <c r="L95" s="94">
        <f t="shared" si="41"/>
        <v>51.701581464318821</v>
      </c>
      <c r="M95" s="94">
        <f t="shared" si="42"/>
        <v>72.11010046339203</v>
      </c>
      <c r="N95" s="94">
        <f t="shared" si="43"/>
        <v>3.3119935088229084</v>
      </c>
      <c r="O95" s="96">
        <f t="shared" si="44"/>
        <v>0.79487844211749792</v>
      </c>
      <c r="P95" s="97">
        <f t="shared" si="45"/>
        <v>1.3735257231122292E-3</v>
      </c>
      <c r="Q95" s="94">
        <f t="shared" si="46"/>
        <v>3.3468565983894654</v>
      </c>
      <c r="R95" s="94">
        <f t="shared" si="47"/>
        <v>2.7409601452327514</v>
      </c>
      <c r="S95" s="11"/>
      <c r="T95" s="13">
        <v>0</v>
      </c>
      <c r="U95" s="13">
        <v>0</v>
      </c>
      <c r="V95" s="13">
        <v>0</v>
      </c>
      <c r="W95" s="13">
        <v>0</v>
      </c>
      <c r="X95" s="13">
        <f t="shared" si="34"/>
        <v>1238939.7590361447</v>
      </c>
      <c r="Y95" s="13">
        <f t="shared" si="35"/>
        <v>1238939.7590361447</v>
      </c>
      <c r="Z95" s="33">
        <f t="shared" si="36"/>
        <v>774.3373493975904</v>
      </c>
      <c r="AA95" s="5" t="s">
        <v>102</v>
      </c>
      <c r="AB95" s="5" t="s">
        <v>102</v>
      </c>
      <c r="AC95" s="11"/>
      <c r="AD95" s="11"/>
      <c r="AE95" s="11"/>
    </row>
    <row r="96" spans="1:31" x14ac:dyDescent="0.25">
      <c r="A96" s="11">
        <f t="shared" si="37"/>
        <v>89</v>
      </c>
      <c r="B96" s="3" t="s">
        <v>60</v>
      </c>
      <c r="C96" s="5" t="s">
        <v>112</v>
      </c>
      <c r="D96" s="5" t="str">
        <f t="shared" si="48"/>
        <v>*</v>
      </c>
      <c r="E96" s="6" t="s">
        <v>102</v>
      </c>
      <c r="F96" s="5" t="str">
        <f t="shared" si="49"/>
        <v>*</v>
      </c>
      <c r="G96" s="6">
        <v>1500</v>
      </c>
      <c r="H96" s="13">
        <f t="shared" si="33"/>
        <v>1500</v>
      </c>
      <c r="I96" s="94">
        <f t="shared" si="38"/>
        <v>1658.1921686746989</v>
      </c>
      <c r="J96" s="94">
        <f t="shared" si="39"/>
        <v>2520.4520963855425</v>
      </c>
      <c r="K96" s="94">
        <f t="shared" si="40"/>
        <v>3515.3673975903616</v>
      </c>
      <c r="L96" s="94">
        <f t="shared" si="41"/>
        <v>48.470232622798896</v>
      </c>
      <c r="M96" s="94">
        <f t="shared" si="42"/>
        <v>67.603219184430031</v>
      </c>
      <c r="N96" s="94">
        <f t="shared" si="43"/>
        <v>3.1049939145214767</v>
      </c>
      <c r="O96" s="96">
        <f t="shared" si="44"/>
        <v>0.74519853948515435</v>
      </c>
      <c r="P96" s="97">
        <f t="shared" si="45"/>
        <v>1.2876803654177148E-3</v>
      </c>
      <c r="Q96" s="94">
        <f t="shared" si="46"/>
        <v>3.1376780609901238</v>
      </c>
      <c r="R96" s="94">
        <f t="shared" si="47"/>
        <v>2.5696501361557047</v>
      </c>
      <c r="S96" s="11"/>
      <c r="T96" s="13">
        <v>0</v>
      </c>
      <c r="U96" s="13">
        <v>0</v>
      </c>
      <c r="V96" s="13">
        <v>0</v>
      </c>
      <c r="W96" s="13">
        <v>0</v>
      </c>
      <c r="X96" s="13">
        <f t="shared" si="34"/>
        <v>1161506.0240963856</v>
      </c>
      <c r="Y96" s="13">
        <f t="shared" si="35"/>
        <v>1161506.0240963856</v>
      </c>
      <c r="Z96" s="33">
        <f t="shared" si="36"/>
        <v>774.3373493975904</v>
      </c>
      <c r="AA96" s="5" t="s">
        <v>102</v>
      </c>
      <c r="AB96" s="5" t="s">
        <v>102</v>
      </c>
      <c r="AC96" s="11"/>
      <c r="AD96" s="11"/>
      <c r="AE96" s="11"/>
    </row>
    <row r="97" spans="1:31" x14ac:dyDescent="0.25">
      <c r="A97" s="11">
        <f t="shared" si="37"/>
        <v>90</v>
      </c>
      <c r="B97" s="3" t="s">
        <v>5</v>
      </c>
      <c r="C97" s="5" t="s">
        <v>112</v>
      </c>
      <c r="D97" s="5" t="str">
        <f t="shared" si="48"/>
        <v>(D)</v>
      </c>
      <c r="E97" s="6" t="s">
        <v>102</v>
      </c>
      <c r="F97" s="5" t="str">
        <f t="shared" si="49"/>
        <v>*</v>
      </c>
      <c r="G97" s="6">
        <v>1500</v>
      </c>
      <c r="H97" s="13">
        <f t="shared" si="33"/>
        <v>1500</v>
      </c>
      <c r="I97" s="94">
        <f t="shared" si="38"/>
        <v>1658.1921686746989</v>
      </c>
      <c r="J97" s="94">
        <f t="shared" si="39"/>
        <v>2520.4520963855425</v>
      </c>
      <c r="K97" s="94">
        <f t="shared" si="40"/>
        <v>3515.3673975903616</v>
      </c>
      <c r="L97" s="94">
        <f t="shared" si="41"/>
        <v>48.470232622798896</v>
      </c>
      <c r="M97" s="94">
        <f t="shared" si="42"/>
        <v>67.603219184430031</v>
      </c>
      <c r="N97" s="94">
        <f t="shared" si="43"/>
        <v>3.1049939145214767</v>
      </c>
      <c r="O97" s="96">
        <f t="shared" si="44"/>
        <v>0.74519853948515435</v>
      </c>
      <c r="P97" s="97">
        <f t="shared" si="45"/>
        <v>1.2876803654177148E-3</v>
      </c>
      <c r="Q97" s="94">
        <f t="shared" si="46"/>
        <v>3.1376780609901238</v>
      </c>
      <c r="R97" s="94">
        <f t="shared" si="47"/>
        <v>2.5696501361557047</v>
      </c>
      <c r="S97" s="11"/>
      <c r="T97" s="13">
        <v>0</v>
      </c>
      <c r="U97" s="13">
        <v>0</v>
      </c>
      <c r="V97" s="13">
        <v>0</v>
      </c>
      <c r="W97" s="13">
        <v>0</v>
      </c>
      <c r="X97" s="13">
        <f t="shared" si="34"/>
        <v>1161506.0240963856</v>
      </c>
      <c r="Y97" s="13">
        <f t="shared" si="35"/>
        <v>1161506.0240963856</v>
      </c>
      <c r="Z97" s="33">
        <f t="shared" si="36"/>
        <v>774.3373493975904</v>
      </c>
      <c r="AA97" s="5" t="s">
        <v>103</v>
      </c>
      <c r="AB97" s="5" t="s">
        <v>102</v>
      </c>
      <c r="AC97" s="11"/>
      <c r="AD97" s="11"/>
      <c r="AE97" s="11"/>
    </row>
    <row r="98" spans="1:31" x14ac:dyDescent="0.25">
      <c r="A98" s="11">
        <f t="shared" si="37"/>
        <v>91</v>
      </c>
      <c r="B98" s="3" t="s">
        <v>93</v>
      </c>
      <c r="C98" s="5" t="s">
        <v>112</v>
      </c>
      <c r="D98" s="5" t="str">
        <f t="shared" si="48"/>
        <v>*</v>
      </c>
      <c r="E98" s="6" t="s">
        <v>102</v>
      </c>
      <c r="F98" s="5" t="str">
        <f t="shared" si="49"/>
        <v>*</v>
      </c>
      <c r="G98" s="6">
        <v>1400</v>
      </c>
      <c r="H98" s="13">
        <f t="shared" si="33"/>
        <v>1400</v>
      </c>
      <c r="I98" s="94">
        <f t="shared" si="38"/>
        <v>1547.6460240963856</v>
      </c>
      <c r="J98" s="94">
        <f t="shared" si="39"/>
        <v>2352.421956626506</v>
      </c>
      <c r="K98" s="94">
        <f t="shared" si="40"/>
        <v>3281.0095710843379</v>
      </c>
      <c r="L98" s="94">
        <f t="shared" si="41"/>
        <v>45.238883781278965</v>
      </c>
      <c r="M98" s="94">
        <f t="shared" si="42"/>
        <v>63.09633790546804</v>
      </c>
      <c r="N98" s="94">
        <f t="shared" si="43"/>
        <v>2.8979943202200453</v>
      </c>
      <c r="O98" s="96">
        <f t="shared" si="44"/>
        <v>0.6955186368528109</v>
      </c>
      <c r="P98" s="97">
        <f t="shared" si="45"/>
        <v>1.2018350077232008E-3</v>
      </c>
      <c r="Q98" s="94">
        <f t="shared" si="46"/>
        <v>2.9284995235907827</v>
      </c>
      <c r="R98" s="94">
        <f t="shared" si="47"/>
        <v>2.3983401270786584</v>
      </c>
      <c r="S98" s="11"/>
      <c r="T98" s="13">
        <v>0</v>
      </c>
      <c r="U98" s="13">
        <v>0</v>
      </c>
      <c r="V98" s="13">
        <v>0</v>
      </c>
      <c r="W98" s="13">
        <v>0</v>
      </c>
      <c r="X98" s="13">
        <f t="shared" si="34"/>
        <v>1084072.2891566267</v>
      </c>
      <c r="Y98" s="13">
        <f t="shared" si="35"/>
        <v>1084072.2891566267</v>
      </c>
      <c r="Z98" s="33">
        <f t="shared" si="36"/>
        <v>774.33734939759051</v>
      </c>
      <c r="AA98" s="5" t="s">
        <v>102</v>
      </c>
      <c r="AB98" s="5" t="s">
        <v>102</v>
      </c>
      <c r="AC98" s="11"/>
      <c r="AD98" s="11"/>
      <c r="AE98" s="11"/>
    </row>
    <row r="99" spans="1:31" x14ac:dyDescent="0.25">
      <c r="A99" s="11">
        <f t="shared" si="37"/>
        <v>92</v>
      </c>
      <c r="B99" s="3" t="s">
        <v>37</v>
      </c>
      <c r="C99" s="5" t="s">
        <v>102</v>
      </c>
      <c r="D99" s="5" t="str">
        <f t="shared" si="48"/>
        <v>*</v>
      </c>
      <c r="E99" s="6" t="s">
        <v>102</v>
      </c>
      <c r="F99" s="5" t="str">
        <f t="shared" si="49"/>
        <v>*</v>
      </c>
      <c r="G99" s="6">
        <v>900</v>
      </c>
      <c r="H99" s="13">
        <f t="shared" si="33"/>
        <v>900</v>
      </c>
      <c r="I99" s="94">
        <f t="shared" si="38"/>
        <v>994.91530120481934</v>
      </c>
      <c r="J99" s="94">
        <f t="shared" si="39"/>
        <v>1512.2712578313253</v>
      </c>
      <c r="K99" s="94">
        <f t="shared" si="40"/>
        <v>2109.2204385542173</v>
      </c>
      <c r="L99" s="94">
        <f t="shared" si="41"/>
        <v>29.082139573679335</v>
      </c>
      <c r="M99" s="94">
        <f t="shared" si="42"/>
        <v>40.561931510658027</v>
      </c>
      <c r="N99" s="94">
        <f t="shared" si="43"/>
        <v>1.8629963487128864</v>
      </c>
      <c r="O99" s="96">
        <f t="shared" si="44"/>
        <v>0.44711912369109275</v>
      </c>
      <c r="P99" s="97">
        <f t="shared" si="45"/>
        <v>7.7260821925062909E-4</v>
      </c>
      <c r="Q99" s="94">
        <f t="shared" si="46"/>
        <v>1.8826068365940747</v>
      </c>
      <c r="R99" s="94">
        <f t="shared" si="47"/>
        <v>1.5417900816934231</v>
      </c>
      <c r="S99" s="11"/>
      <c r="T99" s="13">
        <v>0</v>
      </c>
      <c r="U99" s="13">
        <v>0</v>
      </c>
      <c r="V99" s="13">
        <v>0</v>
      </c>
      <c r="W99" s="13">
        <v>0</v>
      </c>
      <c r="X99" s="13">
        <f t="shared" si="34"/>
        <v>696903.61445783137</v>
      </c>
      <c r="Y99" s="13">
        <f t="shared" si="35"/>
        <v>696903.61445783137</v>
      </c>
      <c r="Z99" s="33">
        <f t="shared" si="36"/>
        <v>774.3373493975904</v>
      </c>
      <c r="AA99" s="5" t="s">
        <v>102</v>
      </c>
      <c r="AB99" s="5" t="s">
        <v>102</v>
      </c>
      <c r="AC99" s="11"/>
      <c r="AD99" s="11"/>
      <c r="AE99" s="11"/>
    </row>
    <row r="100" spans="1:31" x14ac:dyDescent="0.25">
      <c r="A100" s="11">
        <f t="shared" si="37"/>
        <v>93</v>
      </c>
      <c r="B100" s="3" t="s">
        <v>86</v>
      </c>
      <c r="C100" s="5" t="s">
        <v>112</v>
      </c>
      <c r="D100" s="5" t="str">
        <f t="shared" si="48"/>
        <v>*</v>
      </c>
      <c r="E100" s="6" t="s">
        <v>102</v>
      </c>
      <c r="F100" s="5" t="str">
        <f t="shared" si="49"/>
        <v>*</v>
      </c>
      <c r="G100" s="6">
        <v>400</v>
      </c>
      <c r="H100" s="13">
        <f t="shared" si="33"/>
        <v>400</v>
      </c>
      <c r="I100" s="94">
        <f t="shared" si="38"/>
        <v>442.18457831325304</v>
      </c>
      <c r="J100" s="94">
        <f t="shared" si="39"/>
        <v>672.12055903614464</v>
      </c>
      <c r="K100" s="94">
        <f t="shared" si="40"/>
        <v>937.43130602409644</v>
      </c>
      <c r="L100" s="94">
        <f t="shared" si="41"/>
        <v>12.925395366079705</v>
      </c>
      <c r="M100" s="94">
        <f t="shared" si="42"/>
        <v>18.027525115848007</v>
      </c>
      <c r="N100" s="94">
        <f t="shared" si="43"/>
        <v>0.82799837720572711</v>
      </c>
      <c r="O100" s="96">
        <f t="shared" si="44"/>
        <v>0.19871961052937448</v>
      </c>
      <c r="P100" s="97">
        <f t="shared" si="45"/>
        <v>3.4338143077805729E-4</v>
      </c>
      <c r="Q100" s="94">
        <f t="shared" si="46"/>
        <v>0.83671414959736634</v>
      </c>
      <c r="R100" s="94">
        <f t="shared" si="47"/>
        <v>0.68524003630818786</v>
      </c>
      <c r="S100" s="11"/>
      <c r="T100" s="13">
        <v>0</v>
      </c>
      <c r="U100" s="13">
        <v>0</v>
      </c>
      <c r="V100" s="13">
        <v>0</v>
      </c>
      <c r="W100" s="13">
        <v>0</v>
      </c>
      <c r="X100" s="13">
        <f t="shared" si="34"/>
        <v>309734.93975903618</v>
      </c>
      <c r="Y100" s="13">
        <f t="shared" si="35"/>
        <v>309734.93975903618</v>
      </c>
      <c r="Z100" s="33">
        <f t="shared" si="36"/>
        <v>774.3373493975904</v>
      </c>
      <c r="AA100" s="5" t="s">
        <v>102</v>
      </c>
      <c r="AB100" s="5" t="s">
        <v>102</v>
      </c>
      <c r="AC100" s="11"/>
      <c r="AD100" s="11"/>
      <c r="AE100" s="11"/>
    </row>
    <row r="101" spans="1:31" x14ac:dyDescent="0.25">
      <c r="A101" s="11">
        <f t="shared" si="37"/>
        <v>94</v>
      </c>
      <c r="B101" s="3" t="s">
        <v>88</v>
      </c>
      <c r="C101" s="5" t="s">
        <v>112</v>
      </c>
      <c r="D101" s="5" t="str">
        <f t="shared" si="48"/>
        <v>*</v>
      </c>
      <c r="E101" s="6" t="s">
        <v>102</v>
      </c>
      <c r="F101" s="5" t="str">
        <f t="shared" si="49"/>
        <v>*</v>
      </c>
      <c r="G101" s="6">
        <v>300</v>
      </c>
      <c r="H101" s="13">
        <f t="shared" si="33"/>
        <v>300</v>
      </c>
      <c r="I101" s="94">
        <f t="shared" si="38"/>
        <v>331.63843373493978</v>
      </c>
      <c r="J101" s="94">
        <f t="shared" si="39"/>
        <v>504.09041927710848</v>
      </c>
      <c r="K101" s="94">
        <f t="shared" si="40"/>
        <v>703.07347951807242</v>
      </c>
      <c r="L101" s="94">
        <f t="shared" si="41"/>
        <v>9.6940465245597789</v>
      </c>
      <c r="M101" s="94">
        <f t="shared" si="42"/>
        <v>13.520643836886007</v>
      </c>
      <c r="N101" s="94">
        <f t="shared" si="43"/>
        <v>0.62099878290429544</v>
      </c>
      <c r="O101" s="96">
        <f t="shared" si="44"/>
        <v>0.14903970789703089</v>
      </c>
      <c r="P101" s="97">
        <f t="shared" si="45"/>
        <v>2.5753607308354301E-4</v>
      </c>
      <c r="Q101" s="94">
        <f t="shared" si="46"/>
        <v>0.62753561219802478</v>
      </c>
      <c r="R101" s="94">
        <f t="shared" si="47"/>
        <v>0.51393002723114101</v>
      </c>
      <c r="S101" s="11"/>
      <c r="T101" s="13">
        <v>0</v>
      </c>
      <c r="U101" s="13">
        <v>0</v>
      </c>
      <c r="V101" s="13">
        <v>0</v>
      </c>
      <c r="W101" s="13">
        <v>0</v>
      </c>
      <c r="X101" s="13">
        <f t="shared" si="34"/>
        <v>232301.20481927713</v>
      </c>
      <c r="Y101" s="13">
        <f t="shared" si="35"/>
        <v>232301.20481927713</v>
      </c>
      <c r="Z101" s="33">
        <f t="shared" si="36"/>
        <v>774.3373493975904</v>
      </c>
      <c r="AA101" s="5" t="s">
        <v>102</v>
      </c>
      <c r="AB101" s="5" t="s">
        <v>102</v>
      </c>
      <c r="AC101" s="11"/>
      <c r="AD101" s="11"/>
      <c r="AE101" s="11"/>
    </row>
    <row r="102" spans="1:31" x14ac:dyDescent="0.25">
      <c r="A102" s="11">
        <f t="shared" si="37"/>
        <v>95</v>
      </c>
      <c r="B102" s="3" t="s">
        <v>69</v>
      </c>
      <c r="C102" s="5" t="s">
        <v>112</v>
      </c>
      <c r="D102" s="5" t="str">
        <f t="shared" si="48"/>
        <v>*</v>
      </c>
      <c r="E102" s="6" t="s">
        <v>102</v>
      </c>
      <c r="F102" s="5" t="str">
        <f t="shared" si="49"/>
        <v>*</v>
      </c>
      <c r="G102" s="6">
        <v>300</v>
      </c>
      <c r="H102" s="13">
        <f t="shared" si="33"/>
        <v>300</v>
      </c>
      <c r="I102" s="94">
        <f t="shared" si="38"/>
        <v>331.63843373493978</v>
      </c>
      <c r="J102" s="94">
        <f t="shared" si="39"/>
        <v>504.09041927710848</v>
      </c>
      <c r="K102" s="94">
        <f t="shared" si="40"/>
        <v>703.07347951807242</v>
      </c>
      <c r="L102" s="94">
        <f t="shared" si="41"/>
        <v>9.6940465245597789</v>
      </c>
      <c r="M102" s="94">
        <f t="shared" si="42"/>
        <v>13.520643836886007</v>
      </c>
      <c r="N102" s="94">
        <f t="shared" si="43"/>
        <v>0.62099878290429544</v>
      </c>
      <c r="O102" s="96">
        <f t="shared" si="44"/>
        <v>0.14903970789703089</v>
      </c>
      <c r="P102" s="97">
        <f t="shared" si="45"/>
        <v>2.5753607308354301E-4</v>
      </c>
      <c r="Q102" s="94">
        <f t="shared" si="46"/>
        <v>0.62753561219802478</v>
      </c>
      <c r="R102" s="94">
        <f t="shared" si="47"/>
        <v>0.51393002723114101</v>
      </c>
      <c r="S102" s="11"/>
      <c r="T102" s="13">
        <v>0</v>
      </c>
      <c r="U102" s="13">
        <v>0</v>
      </c>
      <c r="V102" s="13">
        <v>0</v>
      </c>
      <c r="W102" s="13">
        <v>0</v>
      </c>
      <c r="X102" s="13">
        <f t="shared" si="34"/>
        <v>232301.20481927713</v>
      </c>
      <c r="Y102" s="13">
        <f t="shared" si="35"/>
        <v>232301.20481927713</v>
      </c>
      <c r="Z102" s="33">
        <f t="shared" si="36"/>
        <v>774.3373493975904</v>
      </c>
      <c r="AA102" s="5" t="s">
        <v>102</v>
      </c>
      <c r="AB102" s="5" t="s">
        <v>102</v>
      </c>
      <c r="AC102" s="11"/>
      <c r="AD102" s="11"/>
      <c r="AE102" s="11"/>
    </row>
    <row r="103" spans="1:31" x14ac:dyDescent="0.25">
      <c r="A103" s="11">
        <f t="shared" si="37"/>
        <v>96</v>
      </c>
      <c r="B103" s="3" t="s">
        <v>26</v>
      </c>
      <c r="C103" s="5" t="s">
        <v>102</v>
      </c>
      <c r="D103" s="5" t="str">
        <f t="shared" si="48"/>
        <v>*</v>
      </c>
      <c r="E103" s="6" t="s">
        <v>102</v>
      </c>
      <c r="F103" s="5" t="str">
        <f t="shared" si="49"/>
        <v>*</v>
      </c>
      <c r="G103" s="6">
        <v>200</v>
      </c>
      <c r="H103" s="13">
        <f t="shared" si="33"/>
        <v>200</v>
      </c>
      <c r="I103" s="94">
        <f t="shared" si="38"/>
        <v>221.09228915662652</v>
      </c>
      <c r="J103" s="94">
        <f t="shared" si="39"/>
        <v>336.06027951807232</v>
      </c>
      <c r="K103" s="94">
        <f t="shared" si="40"/>
        <v>468.71565301204822</v>
      </c>
      <c r="L103" s="94">
        <f t="shared" si="41"/>
        <v>6.4626976830398526</v>
      </c>
      <c r="M103" s="94">
        <f t="shared" si="42"/>
        <v>9.0137625579240037</v>
      </c>
      <c r="N103" s="94">
        <f t="shared" si="43"/>
        <v>0.41399918860286355</v>
      </c>
      <c r="O103" s="96">
        <f t="shared" si="44"/>
        <v>9.935980526468724E-2</v>
      </c>
      <c r="P103" s="97">
        <f t="shared" si="45"/>
        <v>1.7169071538902865E-4</v>
      </c>
      <c r="Q103" s="94">
        <f t="shared" si="46"/>
        <v>0.41835707479868317</v>
      </c>
      <c r="R103" s="94">
        <f t="shared" si="47"/>
        <v>0.34262001815409393</v>
      </c>
      <c r="S103" s="11"/>
      <c r="T103" s="13">
        <v>0</v>
      </c>
      <c r="U103" s="13">
        <v>0</v>
      </c>
      <c r="V103" s="13">
        <v>0</v>
      </c>
      <c r="W103" s="13">
        <v>0</v>
      </c>
      <c r="X103" s="13">
        <f t="shared" si="34"/>
        <v>154867.46987951809</v>
      </c>
      <c r="Y103" s="13">
        <f t="shared" si="35"/>
        <v>154867.46987951809</v>
      </c>
      <c r="Z103" s="33">
        <f t="shared" si="36"/>
        <v>774.3373493975904</v>
      </c>
      <c r="AA103" s="5" t="s">
        <v>102</v>
      </c>
      <c r="AB103" s="5" t="s">
        <v>102</v>
      </c>
      <c r="AC103" s="11"/>
      <c r="AD103" s="11"/>
      <c r="AE103" s="11"/>
    </row>
    <row r="104" spans="1:31" x14ac:dyDescent="0.25">
      <c r="A104" s="11">
        <f t="shared" si="37"/>
        <v>97</v>
      </c>
      <c r="B104" s="3" t="s">
        <v>14</v>
      </c>
      <c r="C104" s="5" t="s">
        <v>102</v>
      </c>
      <c r="D104" s="5" t="str">
        <f t="shared" si="48"/>
        <v>*</v>
      </c>
      <c r="E104" s="6" t="s">
        <v>102</v>
      </c>
      <c r="F104" s="5" t="str">
        <f t="shared" si="49"/>
        <v>*</v>
      </c>
      <c r="G104" s="6">
        <v>100</v>
      </c>
      <c r="H104" s="13">
        <f t="shared" ref="H104:H108" si="50">SUM(C104:G104)</f>
        <v>100</v>
      </c>
      <c r="I104" s="94">
        <f t="shared" si="38"/>
        <v>110.54614457831326</v>
      </c>
      <c r="J104" s="94">
        <f t="shared" si="39"/>
        <v>168.03013975903616</v>
      </c>
      <c r="K104" s="94">
        <f t="shared" si="40"/>
        <v>234.35782650602411</v>
      </c>
      <c r="L104" s="94">
        <f t="shared" si="41"/>
        <v>3.2313488415199263</v>
      </c>
      <c r="M104" s="94">
        <f t="shared" si="42"/>
        <v>4.5068812789620019</v>
      </c>
      <c r="N104" s="94">
        <f t="shared" si="43"/>
        <v>0.20699959430143178</v>
      </c>
      <c r="O104" s="96">
        <f t="shared" si="44"/>
        <v>4.967990263234362E-2</v>
      </c>
      <c r="P104" s="97">
        <f t="shared" si="45"/>
        <v>8.5845357694514323E-5</v>
      </c>
      <c r="Q104" s="94">
        <f t="shared" si="46"/>
        <v>0.20917853739934159</v>
      </c>
      <c r="R104" s="94">
        <f t="shared" si="47"/>
        <v>0.17131000907704697</v>
      </c>
      <c r="S104" s="11"/>
      <c r="T104" s="13">
        <v>0</v>
      </c>
      <c r="U104" s="13">
        <v>0</v>
      </c>
      <c r="V104" s="13">
        <v>0</v>
      </c>
      <c r="W104" s="13">
        <v>0</v>
      </c>
      <c r="X104" s="13">
        <f t="shared" si="34"/>
        <v>77433.734939759044</v>
      </c>
      <c r="Y104" s="13">
        <f t="shared" ref="Y104:Y108" si="51">SUM(T104:X104)</f>
        <v>77433.734939759044</v>
      </c>
      <c r="Z104" s="33">
        <f t="shared" ref="Z104:Z105" si="52">Y104/H104</f>
        <v>774.3373493975904</v>
      </c>
      <c r="AA104" s="5" t="s">
        <v>102</v>
      </c>
      <c r="AB104" s="5" t="s">
        <v>102</v>
      </c>
      <c r="AC104" s="11"/>
      <c r="AD104" s="11"/>
      <c r="AE104" s="11"/>
    </row>
    <row r="105" spans="1:31" x14ac:dyDescent="0.25">
      <c r="A105" s="11">
        <f t="shared" si="37"/>
        <v>98</v>
      </c>
      <c r="B105" s="3" t="s">
        <v>68</v>
      </c>
      <c r="C105" s="5" t="s">
        <v>102</v>
      </c>
      <c r="D105" s="5" t="str">
        <f t="shared" si="48"/>
        <v>*</v>
      </c>
      <c r="E105" s="6" t="s">
        <v>102</v>
      </c>
      <c r="F105" s="5" t="str">
        <f t="shared" si="49"/>
        <v>*</v>
      </c>
      <c r="G105" s="6">
        <v>100</v>
      </c>
      <c r="H105" s="13">
        <f t="shared" si="50"/>
        <v>100</v>
      </c>
      <c r="I105" s="94">
        <f t="shared" si="38"/>
        <v>110.54614457831326</v>
      </c>
      <c r="J105" s="94">
        <f t="shared" si="39"/>
        <v>168.03013975903616</v>
      </c>
      <c r="K105" s="94">
        <f t="shared" si="40"/>
        <v>234.35782650602411</v>
      </c>
      <c r="L105" s="94">
        <f t="shared" si="41"/>
        <v>3.2313488415199263</v>
      </c>
      <c r="M105" s="94">
        <f t="shared" si="42"/>
        <v>4.5068812789620019</v>
      </c>
      <c r="N105" s="94">
        <f t="shared" si="43"/>
        <v>0.20699959430143178</v>
      </c>
      <c r="O105" s="96">
        <f t="shared" si="44"/>
        <v>4.967990263234362E-2</v>
      </c>
      <c r="P105" s="97">
        <f t="shared" si="45"/>
        <v>8.5845357694514323E-5</v>
      </c>
      <c r="Q105" s="94">
        <f t="shared" si="46"/>
        <v>0.20917853739934159</v>
      </c>
      <c r="R105" s="94">
        <f t="shared" si="47"/>
        <v>0.17131000907704697</v>
      </c>
      <c r="S105" s="11"/>
      <c r="T105" s="13">
        <v>0</v>
      </c>
      <c r="U105" s="13">
        <v>0</v>
      </c>
      <c r="V105" s="13">
        <v>0</v>
      </c>
      <c r="W105" s="13">
        <v>0</v>
      </c>
      <c r="X105" s="13">
        <f t="shared" si="34"/>
        <v>77433.734939759044</v>
      </c>
      <c r="Y105" s="13">
        <f t="shared" si="51"/>
        <v>77433.734939759044</v>
      </c>
      <c r="Z105" s="33">
        <f t="shared" si="52"/>
        <v>774.3373493975904</v>
      </c>
      <c r="AA105" s="5" t="s">
        <v>102</v>
      </c>
      <c r="AB105" s="5" t="s">
        <v>102</v>
      </c>
      <c r="AC105" s="11"/>
      <c r="AD105" s="11"/>
      <c r="AE105" s="11"/>
    </row>
    <row r="106" spans="1:31" x14ac:dyDescent="0.25">
      <c r="A106" s="11">
        <f t="shared" si="37"/>
        <v>99</v>
      </c>
      <c r="B106" s="3" t="s">
        <v>27</v>
      </c>
      <c r="C106" s="5" t="s">
        <v>102</v>
      </c>
      <c r="D106" s="5" t="str">
        <f t="shared" si="48"/>
        <v>*</v>
      </c>
      <c r="E106" s="6" t="s">
        <v>102</v>
      </c>
      <c r="F106" s="5" t="str">
        <f t="shared" si="49"/>
        <v>*</v>
      </c>
      <c r="G106" s="6" t="s">
        <v>102</v>
      </c>
      <c r="H106" s="13">
        <f t="shared" si="50"/>
        <v>0</v>
      </c>
      <c r="I106" s="94">
        <f t="shared" si="38"/>
        <v>0</v>
      </c>
      <c r="J106" s="94">
        <f t="shared" si="39"/>
        <v>0</v>
      </c>
      <c r="K106" s="94">
        <f t="shared" si="40"/>
        <v>0</v>
      </c>
      <c r="L106" s="94">
        <f t="shared" si="41"/>
        <v>0</v>
      </c>
      <c r="M106" s="94">
        <f t="shared" si="42"/>
        <v>0</v>
      </c>
      <c r="N106" s="94">
        <f t="shared" si="43"/>
        <v>0</v>
      </c>
      <c r="O106" s="96">
        <f t="shared" si="44"/>
        <v>0</v>
      </c>
      <c r="P106" s="97">
        <f t="shared" si="45"/>
        <v>0</v>
      </c>
      <c r="Q106" s="94">
        <f t="shared" si="46"/>
        <v>0</v>
      </c>
      <c r="R106" s="94">
        <f t="shared" si="47"/>
        <v>0</v>
      </c>
      <c r="S106" s="11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f t="shared" si="51"/>
        <v>0</v>
      </c>
      <c r="Z106" s="33">
        <v>0</v>
      </c>
      <c r="AA106" s="5" t="s">
        <v>102</v>
      </c>
      <c r="AB106" s="5" t="s">
        <v>102</v>
      </c>
      <c r="AC106" s="11"/>
      <c r="AD106" s="11"/>
      <c r="AE106" s="11"/>
    </row>
    <row r="107" spans="1:31" x14ac:dyDescent="0.25">
      <c r="A107" s="11">
        <f t="shared" si="37"/>
        <v>100</v>
      </c>
      <c r="B107" s="3" t="s">
        <v>47</v>
      </c>
      <c r="C107" s="5" t="s">
        <v>112</v>
      </c>
      <c r="D107" s="5" t="str">
        <f t="shared" si="48"/>
        <v>*</v>
      </c>
      <c r="E107" s="6" t="s">
        <v>103</v>
      </c>
      <c r="F107" s="5" t="str">
        <f t="shared" si="49"/>
        <v>*</v>
      </c>
      <c r="G107" s="6" t="s">
        <v>103</v>
      </c>
      <c r="H107" s="13">
        <f t="shared" si="50"/>
        <v>0</v>
      </c>
      <c r="I107" s="94">
        <f t="shared" si="38"/>
        <v>0</v>
      </c>
      <c r="J107" s="94">
        <f t="shared" si="39"/>
        <v>0</v>
      </c>
      <c r="K107" s="94">
        <f t="shared" si="40"/>
        <v>0</v>
      </c>
      <c r="L107" s="94">
        <f t="shared" si="41"/>
        <v>0</v>
      </c>
      <c r="M107" s="94">
        <f t="shared" si="42"/>
        <v>0</v>
      </c>
      <c r="N107" s="94">
        <f t="shared" si="43"/>
        <v>0</v>
      </c>
      <c r="O107" s="96">
        <f t="shared" si="44"/>
        <v>0</v>
      </c>
      <c r="P107" s="97">
        <f t="shared" si="45"/>
        <v>0</v>
      </c>
      <c r="Q107" s="94">
        <f t="shared" si="46"/>
        <v>0</v>
      </c>
      <c r="R107" s="94">
        <f t="shared" si="47"/>
        <v>0</v>
      </c>
      <c r="S107" s="11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f t="shared" si="51"/>
        <v>0</v>
      </c>
      <c r="Z107" s="33">
        <v>0</v>
      </c>
      <c r="AA107" s="5" t="s">
        <v>102</v>
      </c>
      <c r="AB107" s="5" t="s">
        <v>102</v>
      </c>
      <c r="AC107" s="11"/>
      <c r="AD107" s="11"/>
      <c r="AE107" s="11"/>
    </row>
    <row r="108" spans="1:31" x14ac:dyDescent="0.25">
      <c r="A108" s="11">
        <f t="shared" si="37"/>
        <v>101</v>
      </c>
      <c r="B108" s="3" t="s">
        <v>64</v>
      </c>
      <c r="C108" s="5" t="s">
        <v>112</v>
      </c>
      <c r="D108" s="5" t="str">
        <f t="shared" si="48"/>
        <v>*</v>
      </c>
      <c r="E108" s="6" t="s">
        <v>102</v>
      </c>
      <c r="F108" s="5" t="str">
        <f t="shared" si="49"/>
        <v>*</v>
      </c>
      <c r="G108" s="6" t="s">
        <v>102</v>
      </c>
      <c r="H108" s="13">
        <f t="shared" si="50"/>
        <v>0</v>
      </c>
      <c r="I108" s="94">
        <f t="shared" si="38"/>
        <v>0</v>
      </c>
      <c r="J108" s="94">
        <f t="shared" si="39"/>
        <v>0</v>
      </c>
      <c r="K108" s="94">
        <f t="shared" si="40"/>
        <v>0</v>
      </c>
      <c r="L108" s="94">
        <f t="shared" si="41"/>
        <v>0</v>
      </c>
      <c r="M108" s="94">
        <f t="shared" si="42"/>
        <v>0</v>
      </c>
      <c r="N108" s="94">
        <f t="shared" si="43"/>
        <v>0</v>
      </c>
      <c r="O108" s="96">
        <f t="shared" si="44"/>
        <v>0</v>
      </c>
      <c r="P108" s="97">
        <f t="shared" si="45"/>
        <v>0</v>
      </c>
      <c r="Q108" s="94">
        <f t="shared" si="46"/>
        <v>0</v>
      </c>
      <c r="R108" s="94">
        <f t="shared" si="47"/>
        <v>0</v>
      </c>
      <c r="S108" s="11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f t="shared" si="51"/>
        <v>0</v>
      </c>
      <c r="Z108" s="33">
        <v>0</v>
      </c>
      <c r="AA108" s="5" t="s">
        <v>102</v>
      </c>
      <c r="AB108" s="5" t="s">
        <v>102</v>
      </c>
      <c r="AC108" s="11"/>
      <c r="AD108" s="11"/>
      <c r="AE108" s="11"/>
    </row>
    <row r="109" spans="1:31" x14ac:dyDescent="0.25">
      <c r="A109" s="11"/>
      <c r="B109" s="3"/>
      <c r="C109" s="5"/>
      <c r="D109" s="5"/>
      <c r="E109" s="6"/>
      <c r="F109" s="5"/>
      <c r="G109" s="12"/>
      <c r="H109" s="11"/>
      <c r="I109" s="94"/>
      <c r="J109" s="94"/>
      <c r="K109" s="94"/>
      <c r="L109" s="94"/>
      <c r="M109" s="94"/>
      <c r="N109" s="94"/>
      <c r="O109" s="96"/>
      <c r="P109" s="97"/>
      <c r="Q109" s="94"/>
      <c r="R109" s="94"/>
      <c r="S109" s="11"/>
      <c r="T109" s="11"/>
      <c r="U109" s="11"/>
      <c r="V109" s="11"/>
      <c r="W109" s="11"/>
      <c r="X109" s="11"/>
      <c r="Y109" s="11"/>
      <c r="Z109" s="11"/>
      <c r="AA109" s="5"/>
      <c r="AB109" s="5"/>
      <c r="AC109" s="11"/>
      <c r="AD109" s="11"/>
    </row>
    <row r="110" spans="1:31" ht="15.75" x14ac:dyDescent="0.25">
      <c r="A110" s="11"/>
      <c r="B110" s="3" t="s">
        <v>101</v>
      </c>
      <c r="C110" s="5">
        <v>9000000</v>
      </c>
      <c r="D110" s="5">
        <f>AA110/$C$127</f>
        <v>125953846.15384616</v>
      </c>
      <c r="E110" s="6">
        <v>15143000</v>
      </c>
      <c r="F110" s="5">
        <f>AB110/$C$138</f>
        <v>10307692.307692308</v>
      </c>
      <c r="G110" s="5">
        <v>830000</v>
      </c>
      <c r="H110" s="98">
        <f>SUM(H8:H108)</f>
        <v>161234538.46153846</v>
      </c>
      <c r="I110" s="94">
        <f t="shared" ref="I110" si="53">IFERROR(C110*$C$157, 0) + IFERROR(D110*$D$157, 0) + IFERROR(E110*$E$157, 0) + IFERROR(F110*$F$157, 0) + IFERROR(G110*$G$157, 0)</f>
        <v>3714313.0230769236</v>
      </c>
      <c r="J110" s="94">
        <f t="shared" ref="J110" si="54">$C$163*I110</f>
        <v>5645755.7950769234</v>
      </c>
      <c r="K110" s="94">
        <f t="shared" si="40"/>
        <v>7874343.6089230785</v>
      </c>
      <c r="L110" s="94">
        <f t="shared" ref="L110" si="55">J110/52</f>
        <v>108572.22682840237</v>
      </c>
      <c r="M110" s="94">
        <f t="shared" ref="M110" si="56">K110/52</f>
        <v>151429.68478698228</v>
      </c>
      <c r="N110" s="94">
        <f t="shared" ref="N110" si="57">M110/$E$170</f>
        <v>6955.1162712940213</v>
      </c>
      <c r="O110" s="94">
        <f>M110/$E$171</f>
        <v>1669.227905110565</v>
      </c>
      <c r="P110" s="97">
        <f>M110/$E$172</f>
        <v>2.884374948323472</v>
      </c>
      <c r="Q110" s="94">
        <f t="shared" si="46"/>
        <v>7028.3280215181685</v>
      </c>
      <c r="R110" s="94">
        <f t="shared" si="47"/>
        <v>5755.9582934847067</v>
      </c>
      <c r="S110" s="10"/>
      <c r="T110" s="13">
        <f t="shared" ref="T110:Y110" si="58">SUM(T8:T108)</f>
        <v>1267582258.0645158</v>
      </c>
      <c r="U110" s="13">
        <f t="shared" si="58"/>
        <v>503815384.61538464</v>
      </c>
      <c r="V110" s="13">
        <f t="shared" si="58"/>
        <v>75715000</v>
      </c>
      <c r="W110" s="13">
        <f t="shared" si="58"/>
        <v>231923076.9230769</v>
      </c>
      <c r="X110" s="13">
        <f t="shared" si="58"/>
        <v>642700000.00000048</v>
      </c>
      <c r="Y110" s="30">
        <f t="shared" si="58"/>
        <v>2721735719.6029792</v>
      </c>
      <c r="Z110" s="11"/>
      <c r="AA110" s="13">
        <f>SUM(AA8:AA108)</f>
        <v>818700000</v>
      </c>
      <c r="AB110" s="5">
        <f>SUM(AB8:AB108)</f>
        <v>33500000</v>
      </c>
      <c r="AC110" s="5"/>
      <c r="AD110" s="11"/>
      <c r="AE110" s="11"/>
    </row>
    <row r="111" spans="1:31" hidden="1" x14ac:dyDescent="0.25">
      <c r="A111" s="11"/>
      <c r="B111" s="11"/>
      <c r="C111" s="11"/>
      <c r="D111" s="11"/>
      <c r="E111" s="11"/>
      <c r="F111" s="11"/>
      <c r="G111" s="11"/>
      <c r="H111" s="11"/>
      <c r="I111" s="114">
        <f>C111*$C261 + D111*$D261 + E111*$E261 + F111*$F261 + G111*$G261</f>
        <v>0</v>
      </c>
      <c r="J111" s="114"/>
      <c r="K111" s="114"/>
      <c r="L111" s="114"/>
      <c r="M111" s="114"/>
      <c r="N111" s="114">
        <f>M111/$E$170</f>
        <v>0</v>
      </c>
      <c r="O111" s="114">
        <f>M111/$E$171</f>
        <v>0</v>
      </c>
      <c r="P111" s="114">
        <f>M111/$E$172</f>
        <v>0</v>
      </c>
      <c r="Q111" s="114"/>
      <c r="R111" s="114"/>
      <c r="S111" s="9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1" hidden="1" x14ac:dyDescent="0.25">
      <c r="A112" s="11"/>
      <c r="B112" s="11" t="s">
        <v>111</v>
      </c>
      <c r="C112" s="13">
        <f t="shared" ref="C112:E112" si="59">SUM(C8:C108)-C110</f>
        <v>0</v>
      </c>
      <c r="D112" s="13"/>
      <c r="E112" s="13">
        <f t="shared" si="59"/>
        <v>0</v>
      </c>
      <c r="F112" s="13">
        <f>SUM(F8:F108)-F110</f>
        <v>0</v>
      </c>
      <c r="G112" s="13">
        <f>SUM(G8:G108)-G110</f>
        <v>0</v>
      </c>
      <c r="H112" s="11"/>
      <c r="I112" s="114">
        <f>C112*$C262 + D112*$D262 + E112*$E262 + F112*$F262 + G112*$G262</f>
        <v>0</v>
      </c>
      <c r="J112" s="114"/>
      <c r="K112" s="114"/>
      <c r="L112" s="114"/>
      <c r="M112" s="114"/>
      <c r="N112" s="114">
        <f>M112/$E$170</f>
        <v>0</v>
      </c>
      <c r="O112" s="114">
        <f>M112/$E$171</f>
        <v>0</v>
      </c>
      <c r="P112" s="114">
        <f>M112/$E$172</f>
        <v>0</v>
      </c>
      <c r="Q112" s="114"/>
      <c r="R112" s="114"/>
      <c r="S112" s="90"/>
      <c r="T112" s="11"/>
      <c r="U112" s="11"/>
      <c r="V112" s="11"/>
      <c r="W112" s="11"/>
      <c r="X112" s="11"/>
      <c r="Y112" s="11"/>
      <c r="AA112" s="13">
        <f>SUM(AA8:AA108)-AA110</f>
        <v>0</v>
      </c>
      <c r="AB112" s="13">
        <f>SUM(AB8:AB108)-AB110</f>
        <v>0</v>
      </c>
      <c r="AD112" s="11"/>
    </row>
    <row r="113" spans="1:29" hidden="1" x14ac:dyDescent="0.25">
      <c r="A113" s="11"/>
      <c r="B113" s="11"/>
      <c r="C113" s="11"/>
      <c r="D113" s="11"/>
      <c r="E113" s="11"/>
      <c r="F113" s="11"/>
      <c r="G113" s="11"/>
      <c r="H113" s="25"/>
      <c r="I113" s="114">
        <f>C113*$C263 + D113*$D263 + E113*$E263 + F113*$F263 + G113*$G263</f>
        <v>0</v>
      </c>
      <c r="J113" s="114"/>
      <c r="K113" s="114"/>
      <c r="L113" s="114"/>
      <c r="M113" s="114"/>
      <c r="N113" s="114">
        <f>M113/$E$170</f>
        <v>0</v>
      </c>
      <c r="O113" s="114">
        <f>M113/$E$171</f>
        <v>0</v>
      </c>
      <c r="P113" s="114">
        <f>M113/$E$172</f>
        <v>0</v>
      </c>
      <c r="Q113" s="114"/>
      <c r="R113" s="114"/>
      <c r="S113" s="90"/>
      <c r="T113" s="11"/>
      <c r="U113" s="11"/>
      <c r="V113" s="11"/>
      <c r="W113" s="11"/>
      <c r="X113" s="11"/>
      <c r="Y113" s="11"/>
      <c r="Z113" s="11"/>
      <c r="AC113" s="11"/>
    </row>
    <row r="114" spans="1:29" x14ac:dyDescent="0.25">
      <c r="A114" s="11"/>
      <c r="B114" s="11"/>
      <c r="C114" s="11"/>
      <c r="D114" s="11"/>
      <c r="E114" s="11"/>
      <c r="F114" s="11"/>
      <c r="G114" s="13"/>
      <c r="H114" s="11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11"/>
      <c r="U114" s="11"/>
      <c r="V114" s="11"/>
      <c r="W114" s="11"/>
      <c r="X114" s="11"/>
      <c r="Y114" s="11"/>
      <c r="Z114" s="11"/>
      <c r="AC114" s="11"/>
    </row>
    <row r="115" spans="1:29" x14ac:dyDescent="0.25">
      <c r="A115" s="11"/>
      <c r="B115" s="19" t="s">
        <v>123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C115" s="11"/>
    </row>
    <row r="116" spans="1:29" x14ac:dyDescent="0.25">
      <c r="A116" s="11"/>
      <c r="B116" s="14" t="s">
        <v>119</v>
      </c>
      <c r="C116" s="11" t="s">
        <v>118</v>
      </c>
      <c r="D116" s="15" t="s">
        <v>122</v>
      </c>
      <c r="E116" s="11" t="s">
        <v>144</v>
      </c>
      <c r="F116" s="11" t="s">
        <v>124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x14ac:dyDescent="0.25">
      <c r="A117" s="11"/>
      <c r="B117" s="11" t="s">
        <v>114</v>
      </c>
      <c r="C117" s="13">
        <v>3160000</v>
      </c>
      <c r="D117" s="16">
        <f>C117/$C$122</f>
        <v>0.33978494623655914</v>
      </c>
      <c r="E117" s="11">
        <f>25</f>
        <v>25</v>
      </c>
      <c r="F117" s="17">
        <f>D117*E117</f>
        <v>8.4946236559139781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x14ac:dyDescent="0.25">
      <c r="A118" s="11"/>
      <c r="B118" s="11" t="s">
        <v>115</v>
      </c>
      <c r="C118" s="13">
        <v>1950000</v>
      </c>
      <c r="D118" s="16">
        <f t="shared" ref="D118:D121" si="60">C118/$C$122</f>
        <v>0.20967741935483872</v>
      </c>
      <c r="E118" s="11">
        <f>(119+50)/2</f>
        <v>84.5</v>
      </c>
      <c r="F118" s="17">
        <f t="shared" ref="F118:F121" si="61">D118*E118</f>
        <v>17.717741935483872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2"/>
      <c r="V118" s="11"/>
      <c r="W118" s="11"/>
      <c r="X118" s="11"/>
      <c r="Y118" s="11"/>
      <c r="Z118" s="11"/>
      <c r="AA118" s="11"/>
      <c r="AB118" s="11"/>
      <c r="AC118" s="11"/>
    </row>
    <row r="119" spans="1:29" x14ac:dyDescent="0.25">
      <c r="A119" s="11"/>
      <c r="B119" s="11" t="s">
        <v>116</v>
      </c>
      <c r="C119" s="13">
        <v>1680000</v>
      </c>
      <c r="D119" s="16">
        <f t="shared" si="60"/>
        <v>0.18064516129032257</v>
      </c>
      <c r="E119" s="11">
        <f>(120+179)/2</f>
        <v>149.5</v>
      </c>
      <c r="F119" s="17">
        <f t="shared" si="61"/>
        <v>27.006451612903223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x14ac:dyDescent="0.25">
      <c r="A120" s="11"/>
      <c r="B120" s="11" t="s">
        <v>117</v>
      </c>
      <c r="C120" s="13">
        <v>1630000</v>
      </c>
      <c r="D120" s="16">
        <f t="shared" si="60"/>
        <v>0.17526881720430107</v>
      </c>
      <c r="E120" s="11">
        <f>(180+280)/2</f>
        <v>230</v>
      </c>
      <c r="F120" s="17">
        <f t="shared" si="61"/>
        <v>40.311827956989248</v>
      </c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x14ac:dyDescent="0.25">
      <c r="A121" s="11"/>
      <c r="B121" s="11" t="s">
        <v>120</v>
      </c>
      <c r="C121" s="13">
        <v>880000</v>
      </c>
      <c r="D121" s="16">
        <f t="shared" si="60"/>
        <v>9.4623655913978491E-2</v>
      </c>
      <c r="E121" s="31">
        <v>500</v>
      </c>
      <c r="F121" s="17">
        <f t="shared" si="61"/>
        <v>47.311827956989248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x14ac:dyDescent="0.25">
      <c r="A122" s="11"/>
      <c r="B122" s="20" t="s">
        <v>121</v>
      </c>
      <c r="C122" s="21">
        <f>SUM(C117:C121)</f>
        <v>9300000</v>
      </c>
      <c r="D122" s="22">
        <f>SUM(D117:D121)</f>
        <v>1</v>
      </c>
      <c r="E122" s="11"/>
      <c r="F122" s="18">
        <f>SUM(F117:F121)</f>
        <v>140.84247311827957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x14ac:dyDescent="0.25">
      <c r="B124" s="19" t="s">
        <v>126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x14ac:dyDescent="0.25">
      <c r="B125" s="11" t="s">
        <v>127</v>
      </c>
      <c r="C125" s="19">
        <v>8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x14ac:dyDescent="0.25">
      <c r="B126" s="11" t="s">
        <v>129</v>
      </c>
      <c r="C126" s="19">
        <v>4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x14ac:dyDescent="0.25">
      <c r="B127" s="11" t="s">
        <v>149</v>
      </c>
      <c r="C127" s="19">
        <f>52/8</f>
        <v>6.5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x14ac:dyDescent="0.25">
      <c r="B128" s="11"/>
      <c r="C128" s="19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2:29" x14ac:dyDescent="0.25">
      <c r="B129" s="19" t="s">
        <v>128</v>
      </c>
      <c r="C129" s="19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2:29" x14ac:dyDescent="0.25">
      <c r="B130" s="11" t="s">
        <v>129</v>
      </c>
      <c r="C130" s="19">
        <v>5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2:29" x14ac:dyDescent="0.25">
      <c r="B131" s="11"/>
      <c r="C131" s="1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2:29" x14ac:dyDescent="0.25">
      <c r="B132" s="19" t="s">
        <v>130</v>
      </c>
      <c r="C132" s="19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2:29" x14ac:dyDescent="0.25">
      <c r="B133" s="11" t="s">
        <v>132</v>
      </c>
      <c r="C133" s="2">
        <v>15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2:29" x14ac:dyDescent="0.25">
      <c r="B134" s="11" t="s">
        <v>133</v>
      </c>
      <c r="C134" s="2">
        <v>30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2:29" x14ac:dyDescent="0.25">
      <c r="B135" s="11" t="s">
        <v>131</v>
      </c>
      <c r="C135" s="2">
        <f>(C133+C134)/2</f>
        <v>22.5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2:29" x14ac:dyDescent="0.25">
      <c r="B136" s="11" t="s">
        <v>150</v>
      </c>
      <c r="C136" s="2">
        <v>14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2:29" x14ac:dyDescent="0.25">
      <c r="B137" s="11" t="s">
        <v>151</v>
      </c>
      <c r="C137" s="2">
        <v>18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2:29" x14ac:dyDescent="0.25">
      <c r="B138" s="11" t="s">
        <v>149</v>
      </c>
      <c r="C138" s="19">
        <f>52/16</f>
        <v>3.25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2:29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2:29" x14ac:dyDescent="0.25">
      <c r="B140" s="19" t="s">
        <v>145</v>
      </c>
      <c r="C140" s="23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2:29" x14ac:dyDescent="0.25">
      <c r="B141" s="19" t="s">
        <v>146</v>
      </c>
      <c r="C141" s="23" t="s">
        <v>147</v>
      </c>
      <c r="D141" s="15" t="s">
        <v>122</v>
      </c>
      <c r="E141" s="11" t="s">
        <v>144</v>
      </c>
      <c r="F141" s="11" t="s">
        <v>124</v>
      </c>
      <c r="G141" s="71" t="s">
        <v>210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2:29" x14ac:dyDescent="0.25">
      <c r="B142" s="19" t="s">
        <v>134</v>
      </c>
      <c r="C142" s="23">
        <v>415000</v>
      </c>
      <c r="D142" s="16">
        <f>C142/$C$152</f>
        <v>0.5</v>
      </c>
      <c r="E142" s="11">
        <v>850</v>
      </c>
      <c r="F142" s="24">
        <f>E142*D142</f>
        <v>425</v>
      </c>
      <c r="G142" s="68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2:29" x14ac:dyDescent="0.25">
      <c r="B143" s="11" t="s">
        <v>142</v>
      </c>
      <c r="C143" s="13">
        <v>370000</v>
      </c>
      <c r="D143" s="11"/>
      <c r="E143" s="11"/>
      <c r="F143" s="24"/>
      <c r="G143" s="71">
        <v>1.5323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2:29" x14ac:dyDescent="0.25">
      <c r="B144" s="11" t="s">
        <v>143</v>
      </c>
      <c r="C144" s="13">
        <v>45000</v>
      </c>
      <c r="D144" s="11"/>
      <c r="E144" s="11"/>
      <c r="F144" s="24"/>
      <c r="G144" s="71">
        <v>1.0475000000000001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2:29" x14ac:dyDescent="0.25">
      <c r="B145" s="19" t="s">
        <v>135</v>
      </c>
      <c r="C145" s="23">
        <v>116000</v>
      </c>
      <c r="D145" s="16">
        <f>C145/$C$152</f>
        <v>0.13975903614457832</v>
      </c>
      <c r="E145" s="11">
        <v>850</v>
      </c>
      <c r="F145" s="24">
        <f>E145*D145</f>
        <v>118.79518072289157</v>
      </c>
      <c r="G145" s="71">
        <v>1.5323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2:29" x14ac:dyDescent="0.25">
      <c r="B146" s="11" t="s">
        <v>139</v>
      </c>
      <c r="C146" s="6">
        <v>69000</v>
      </c>
      <c r="D146" s="11"/>
      <c r="E146" s="11"/>
      <c r="F146" s="24"/>
      <c r="G146" s="7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2:29" x14ac:dyDescent="0.25">
      <c r="B147" s="11" t="s">
        <v>140</v>
      </c>
      <c r="C147" s="6">
        <v>22000</v>
      </c>
      <c r="D147" s="11"/>
      <c r="E147" s="11"/>
      <c r="F147" s="24"/>
      <c r="G147" s="7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2:29" x14ac:dyDescent="0.25">
      <c r="B148" s="11" t="s">
        <v>141</v>
      </c>
      <c r="C148" s="6">
        <v>25000</v>
      </c>
      <c r="D148" s="26"/>
      <c r="E148" s="11"/>
      <c r="F148" s="24"/>
      <c r="G148" s="7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2:29" x14ac:dyDescent="0.25">
      <c r="B149" s="19" t="s">
        <v>136</v>
      </c>
      <c r="C149" s="23">
        <v>43000</v>
      </c>
      <c r="D149" s="16">
        <f>C149/$C$152</f>
        <v>5.1807228915662654E-2</v>
      </c>
      <c r="E149" s="11">
        <v>1700</v>
      </c>
      <c r="F149" s="24">
        <f t="shared" ref="F149:F151" si="62">E149*D149</f>
        <v>88.07228915662651</v>
      </c>
      <c r="G149" s="71">
        <v>1.5323</v>
      </c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2:29" x14ac:dyDescent="0.25">
      <c r="B150" s="19" t="s">
        <v>137</v>
      </c>
      <c r="C150" s="23">
        <v>31000</v>
      </c>
      <c r="D150" s="16">
        <f>C150/$C$152</f>
        <v>3.7349397590361447E-2</v>
      </c>
      <c r="E150" s="11">
        <v>2000</v>
      </c>
      <c r="F150" s="24">
        <f t="shared" si="62"/>
        <v>74.698795180722897</v>
      </c>
      <c r="G150" s="71">
        <v>1.5323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2:29" x14ac:dyDescent="0.25">
      <c r="B151" s="19" t="s">
        <v>138</v>
      </c>
      <c r="C151" s="23">
        <v>225000</v>
      </c>
      <c r="D151" s="16">
        <f>C151/$C$152</f>
        <v>0.27108433734939757</v>
      </c>
      <c r="E151" s="11">
        <v>250</v>
      </c>
      <c r="F151" s="24">
        <f t="shared" si="62"/>
        <v>67.771084337349393</v>
      </c>
      <c r="G151" s="71">
        <v>5.4699999999999999E-2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2:29" x14ac:dyDescent="0.25">
      <c r="B152" s="3" t="s">
        <v>121</v>
      </c>
      <c r="C152" s="27">
        <f>SUM(C142,C145,C149:C151)</f>
        <v>830000</v>
      </c>
      <c r="D152" s="28">
        <f>SUM(D142:D151)</f>
        <v>1</v>
      </c>
      <c r="E152" s="20"/>
      <c r="F152" s="29">
        <f>SUM(F142:F151)</f>
        <v>774.3373493975904</v>
      </c>
      <c r="G152" s="106">
        <f>(G143*C143+G144*C144+C145*G145+G149*C149+G150*C150+G151*C151)/C152</f>
        <v>1.1054614457831327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2:29" x14ac:dyDescent="0.25">
      <c r="G153" s="68"/>
    </row>
    <row r="155" spans="2:29" x14ac:dyDescent="0.25">
      <c r="B155" s="72" t="s">
        <v>226</v>
      </c>
      <c r="F155" s="68"/>
      <c r="G155" s="68"/>
    </row>
    <row r="156" spans="2:29" x14ac:dyDescent="0.25">
      <c r="B156" s="99"/>
      <c r="C156" s="102" t="s">
        <v>152</v>
      </c>
      <c r="D156" s="102" t="s">
        <v>126</v>
      </c>
      <c r="E156" s="102" t="s">
        <v>128</v>
      </c>
      <c r="F156" s="102" t="s">
        <v>130</v>
      </c>
      <c r="G156" s="102" t="s">
        <v>190</v>
      </c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2:29" x14ac:dyDescent="0.25">
      <c r="B157" s="103" t="s">
        <v>227</v>
      </c>
      <c r="C157" s="99">
        <v>0.22850000000000001</v>
      </c>
      <c r="D157" s="99">
        <v>2E-3</v>
      </c>
      <c r="E157" s="99">
        <v>2.1700000000000001E-2</v>
      </c>
      <c r="F157" s="99">
        <v>1.55E-2</v>
      </c>
      <c r="G157" s="107">
        <f>G152</f>
        <v>1.1054614457831327</v>
      </c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</row>
    <row r="158" spans="2:29" x14ac:dyDescent="0.25">
      <c r="B158" s="99" t="s">
        <v>211</v>
      </c>
      <c r="C158" s="99"/>
      <c r="D158" s="99"/>
      <c r="E158" s="99"/>
      <c r="F158" s="99"/>
      <c r="G158" s="99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</row>
    <row r="159" spans="2:29" x14ac:dyDescent="0.25">
      <c r="B159" s="99" t="s">
        <v>214</v>
      </c>
      <c r="C159" s="99"/>
      <c r="D159" s="99"/>
      <c r="E159" s="99"/>
      <c r="F159" s="99"/>
      <c r="G159" s="99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</row>
    <row r="160" spans="2:29" x14ac:dyDescent="0.25">
      <c r="B160" s="68"/>
      <c r="C160" s="8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</row>
    <row r="161" spans="2:18" x14ac:dyDescent="0.25">
      <c r="B161" s="68"/>
      <c r="C161" s="8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</row>
    <row r="162" spans="2:18" x14ac:dyDescent="0.25">
      <c r="B162" s="101"/>
      <c r="C162" s="89" t="s">
        <v>194</v>
      </c>
      <c r="D162" s="68"/>
      <c r="E162" s="68"/>
    </row>
    <row r="163" spans="2:18" x14ac:dyDescent="0.25">
      <c r="B163" s="87" t="s">
        <v>193</v>
      </c>
      <c r="C163" s="68">
        <v>1.52</v>
      </c>
      <c r="D163" s="68"/>
      <c r="E163" s="68"/>
    </row>
    <row r="164" spans="2:18" x14ac:dyDescent="0.25">
      <c r="B164" s="87" t="s">
        <v>192</v>
      </c>
      <c r="C164" s="68">
        <v>2.12</v>
      </c>
      <c r="D164" s="68"/>
      <c r="E164" s="68"/>
    </row>
    <row r="165" spans="2:18" x14ac:dyDescent="0.25">
      <c r="B165" s="70" t="s">
        <v>207</v>
      </c>
      <c r="C165" s="68"/>
      <c r="D165" s="68"/>
      <c r="E165" s="68"/>
    </row>
    <row r="166" spans="2:18" x14ac:dyDescent="0.25">
      <c r="B166" s="70" t="s">
        <v>242</v>
      </c>
      <c r="C166" s="113">
        <v>2204.62</v>
      </c>
      <c r="D166" s="68" t="s">
        <v>243</v>
      </c>
      <c r="E166" s="68"/>
    </row>
    <row r="167" spans="2:18" x14ac:dyDescent="0.25">
      <c r="B167" s="70"/>
      <c r="C167" s="68"/>
      <c r="D167" s="68"/>
      <c r="E167" s="68"/>
    </row>
    <row r="168" spans="2:18" x14ac:dyDescent="0.25">
      <c r="B168" s="87" t="s">
        <v>228</v>
      </c>
      <c r="C168" s="68"/>
      <c r="D168" s="68"/>
      <c r="E168" s="68"/>
    </row>
    <row r="169" spans="2:18" x14ac:dyDescent="0.25">
      <c r="B169" s="103"/>
      <c r="C169" s="103" t="s">
        <v>146</v>
      </c>
      <c r="D169" s="103" t="s">
        <v>205</v>
      </c>
      <c r="E169" s="104" t="s">
        <v>213</v>
      </c>
    </row>
    <row r="170" spans="2:18" x14ac:dyDescent="0.25">
      <c r="B170" s="103" t="s">
        <v>200</v>
      </c>
      <c r="C170" s="99" t="s">
        <v>206</v>
      </c>
      <c r="D170" s="100">
        <v>48000</v>
      </c>
      <c r="E170" s="105">
        <f>D170*0.000453592</f>
        <v>21.772416</v>
      </c>
    </row>
    <row r="171" spans="2:18" x14ac:dyDescent="0.25">
      <c r="B171" s="103" t="s">
        <v>197</v>
      </c>
      <c r="C171" s="99" t="s">
        <v>201</v>
      </c>
      <c r="D171" s="100">
        <v>200000</v>
      </c>
      <c r="E171" s="105">
        <f>D171*0.000453592</f>
        <v>90.718400000000003</v>
      </c>
    </row>
    <row r="172" spans="2:18" x14ac:dyDescent="0.25">
      <c r="B172" s="103" t="s">
        <v>198</v>
      </c>
      <c r="C172" s="99" t="s">
        <v>199</v>
      </c>
      <c r="D172" s="100">
        <f>2204.62*E172</f>
        <v>115742550</v>
      </c>
      <c r="E172" s="105">
        <v>52500</v>
      </c>
    </row>
    <row r="173" spans="2:18" x14ac:dyDescent="0.25">
      <c r="B173" s="103" t="s">
        <v>208</v>
      </c>
      <c r="C173" s="99" t="s">
        <v>209</v>
      </c>
      <c r="D173" s="100">
        <v>47500</v>
      </c>
      <c r="E173" s="105">
        <f>D173*0.000453592</f>
        <v>21.54562</v>
      </c>
    </row>
    <row r="174" spans="2:18" x14ac:dyDescent="0.25">
      <c r="B174" s="103" t="s">
        <v>208</v>
      </c>
      <c r="C174" s="99" t="s">
        <v>232</v>
      </c>
      <c r="D174" s="100">
        <v>58000</v>
      </c>
      <c r="E174" s="105">
        <f>D174*0.000453592</f>
        <v>26.308336000000001</v>
      </c>
    </row>
    <row r="176" spans="2:18" x14ac:dyDescent="0.25">
      <c r="C176" s="1"/>
    </row>
    <row r="177" spans="2:11" x14ac:dyDescent="0.25">
      <c r="B177" s="103" t="s">
        <v>247</v>
      </c>
      <c r="C177" s="88"/>
      <c r="D177" s="68"/>
      <c r="E177" s="68"/>
      <c r="F177" s="68"/>
      <c r="G177" s="68"/>
      <c r="H177" s="68"/>
      <c r="I177" s="68"/>
      <c r="J177" s="68"/>
      <c r="K177" s="68"/>
    </row>
    <row r="178" spans="2:11" x14ac:dyDescent="0.25">
      <c r="B178" s="68"/>
      <c r="C178" s="87" t="s">
        <v>248</v>
      </c>
      <c r="D178" s="87" t="s">
        <v>249</v>
      </c>
      <c r="E178" s="87" t="s">
        <v>250</v>
      </c>
      <c r="F178" s="87" t="s">
        <v>251</v>
      </c>
      <c r="G178" s="87" t="s">
        <v>252</v>
      </c>
      <c r="H178" s="87" t="s">
        <v>253</v>
      </c>
      <c r="I178" s="87" t="s">
        <v>254</v>
      </c>
      <c r="J178" s="87" t="s">
        <v>255</v>
      </c>
      <c r="K178" s="87" t="s">
        <v>256</v>
      </c>
    </row>
    <row r="179" spans="2:11" x14ac:dyDescent="0.25">
      <c r="B179" s="103" t="s">
        <v>257</v>
      </c>
      <c r="C179" s="88">
        <f>SUM(C8:C108)</f>
        <v>9000000</v>
      </c>
      <c r="D179" s="88">
        <f>C179*C157</f>
        <v>2056500</v>
      </c>
      <c r="E179" s="68"/>
      <c r="F179" s="115">
        <f>D179/(SUM($D$179:$D$183))</f>
        <v>0.55366900614542247</v>
      </c>
      <c r="G179" s="88">
        <v>-5500</v>
      </c>
      <c r="H179" s="88">
        <f>G179*$C$157</f>
        <v>-1256.75</v>
      </c>
      <c r="I179" s="116">
        <f>H179/(SUM($D$179:$D$183))</f>
        <v>-3.3835328153331376E-4</v>
      </c>
      <c r="J179" s="88">
        <f>H179*$C$163</f>
        <v>-1910.26</v>
      </c>
      <c r="K179" s="88">
        <f>J179*$C$166/$C$187</f>
        <v>-70189.956686666672</v>
      </c>
    </row>
    <row r="180" spans="2:11" x14ac:dyDescent="0.25">
      <c r="B180" s="103" t="s">
        <v>258</v>
      </c>
      <c r="C180" s="88">
        <f>SUM(D8:D108)</f>
        <v>125953846.15384616</v>
      </c>
      <c r="D180" s="88">
        <f>C180*D157</f>
        <v>251907.69230769231</v>
      </c>
      <c r="E180" s="115">
        <f>C180/(SUM($C$180:$C$182))</f>
        <v>0.83190271199064758</v>
      </c>
      <c r="F180" s="115">
        <f t="shared" ref="F180:F183" si="63">D180/(SUM($D$179:$D$183))</f>
        <v>6.7820803131722299E-2</v>
      </c>
      <c r="G180" s="88">
        <f>E180*C186</f>
        <v>-3410801.1191616552</v>
      </c>
      <c r="H180" s="88">
        <f>G180*$D$157</f>
        <v>-6821.6022383233103</v>
      </c>
      <c r="I180" s="116">
        <f t="shared" ref="I180:I184" si="64">H180/(SUM($D$179:$D$183))</f>
        <v>-1.8365717148611023E-3</v>
      </c>
      <c r="J180" s="88">
        <f t="shared" ref="J180:J184" si="65">H180*$C$163</f>
        <v>-10368.835402251432</v>
      </c>
      <c r="K180" s="88">
        <f t="shared" ref="K180:K184" si="66">J180*$C$166/$C$187</f>
        <v>-380989.03174185922</v>
      </c>
    </row>
    <row r="181" spans="2:11" x14ac:dyDescent="0.25">
      <c r="B181" s="103" t="s">
        <v>128</v>
      </c>
      <c r="C181" s="88">
        <f>SUM(E8:E108)</f>
        <v>15143000</v>
      </c>
      <c r="D181" s="88">
        <f>C181*E157</f>
        <v>328603.10000000003</v>
      </c>
      <c r="E181" s="115">
        <f>C181/(SUM($C$180:$C$182))</f>
        <v>0.1000168168924923</v>
      </c>
      <c r="F181" s="115">
        <f t="shared" si="63"/>
        <v>8.8469414925020612E-2</v>
      </c>
      <c r="G181" s="88">
        <f>E181*C186</f>
        <v>-410068.94925921841</v>
      </c>
      <c r="H181" s="88">
        <f>G181*$E$157</f>
        <v>-8898.4961989250405</v>
      </c>
      <c r="I181" s="116">
        <f t="shared" si="64"/>
        <v>-2.3957313623377812E-3</v>
      </c>
      <c r="J181" s="88">
        <f t="shared" si="65"/>
        <v>-13525.714222366061</v>
      </c>
      <c r="K181" s="88">
        <f t="shared" si="66"/>
        <v>-496984.33481521107</v>
      </c>
    </row>
    <row r="182" spans="2:11" x14ac:dyDescent="0.25">
      <c r="B182" s="103" t="s">
        <v>130</v>
      </c>
      <c r="C182" s="88">
        <f>SUM(F8:F108)</f>
        <v>10307692.307692308</v>
      </c>
      <c r="D182" s="88">
        <f>C182*F157</f>
        <v>159769.23076923078</v>
      </c>
      <c r="E182" s="115">
        <f>C182/(SUM($C$180:$C$182))</f>
        <v>6.8080471116860136E-2</v>
      </c>
      <c r="F182" s="115">
        <f t="shared" si="63"/>
        <v>4.3014476641195558E-2</v>
      </c>
      <c r="G182" s="88">
        <f>E182*C186</f>
        <v>-279129.93157912657</v>
      </c>
      <c r="H182" s="88">
        <f>G182*$F$157</f>
        <v>-4326.5139394764619</v>
      </c>
      <c r="I182" s="116">
        <f t="shared" si="64"/>
        <v>-1.1648221118133963E-3</v>
      </c>
      <c r="J182" s="88">
        <f t="shared" si="65"/>
        <v>-6576.3011880042222</v>
      </c>
      <c r="K182" s="88">
        <f t="shared" si="66"/>
        <v>-241637.41875163111</v>
      </c>
    </row>
    <row r="183" spans="2:11" x14ac:dyDescent="0.25">
      <c r="B183" s="103" t="s">
        <v>190</v>
      </c>
      <c r="C183" s="88">
        <f>SUM(G8:G108)</f>
        <v>830000</v>
      </c>
      <c r="D183" s="88">
        <f>C183*G157</f>
        <v>917533.00000000012</v>
      </c>
      <c r="E183" s="68"/>
      <c r="F183" s="115">
        <f t="shared" si="63"/>
        <v>0.24702629915663896</v>
      </c>
      <c r="G183" s="88">
        <v>0</v>
      </c>
      <c r="H183" s="88">
        <f>G183*$G$157</f>
        <v>0</v>
      </c>
      <c r="I183" s="116">
        <f t="shared" si="64"/>
        <v>0</v>
      </c>
      <c r="J183" s="88">
        <f t="shared" si="65"/>
        <v>0</v>
      </c>
      <c r="K183" s="88">
        <f t="shared" si="66"/>
        <v>0</v>
      </c>
    </row>
    <row r="184" spans="2:11" x14ac:dyDescent="0.25">
      <c r="B184" s="87" t="s">
        <v>121</v>
      </c>
      <c r="C184" s="68"/>
      <c r="D184" s="68"/>
      <c r="E184" s="68"/>
      <c r="F184" s="117" t="s">
        <v>259</v>
      </c>
      <c r="G184" s="68"/>
      <c r="H184" s="88">
        <f>SUM(H179:H183)</f>
        <v>-21303.362376724814</v>
      </c>
      <c r="I184" s="116">
        <f t="shared" si="64"/>
        <v>-5.7354784705455934E-3</v>
      </c>
      <c r="J184" s="88">
        <f t="shared" si="65"/>
        <v>-32381.110812621719</v>
      </c>
      <c r="K184" s="88">
        <f t="shared" si="66"/>
        <v>-1189800.7419953682</v>
      </c>
    </row>
    <row r="185" spans="2:11" x14ac:dyDescent="0.25">
      <c r="B185" s="87"/>
      <c r="C185" s="68"/>
      <c r="D185" s="68"/>
      <c r="E185" s="117"/>
      <c r="F185" s="68"/>
      <c r="G185" s="88"/>
      <c r="H185" s="116"/>
      <c r="I185" s="88"/>
      <c r="J185" s="68"/>
      <c r="K185" s="68"/>
    </row>
    <row r="186" spans="2:11" x14ac:dyDescent="0.25">
      <c r="B186" s="87" t="s">
        <v>260</v>
      </c>
      <c r="C186" s="88">
        <v>-4100000</v>
      </c>
      <c r="D186" s="68"/>
      <c r="E186" s="68"/>
      <c r="F186" s="68"/>
      <c r="G186" s="68"/>
      <c r="H186" s="68"/>
      <c r="I186" s="68"/>
      <c r="J186" s="68"/>
      <c r="K186" s="68"/>
    </row>
    <row r="187" spans="2:11" x14ac:dyDescent="0.25">
      <c r="B187" s="87" t="s">
        <v>261</v>
      </c>
      <c r="C187" s="68">
        <v>60</v>
      </c>
      <c r="D187" s="68"/>
      <c r="E187" s="68"/>
      <c r="F187" s="68"/>
      <c r="G187" s="68"/>
      <c r="H187" s="68"/>
      <c r="I187" s="68"/>
      <c r="J187" s="68"/>
      <c r="K187" s="68"/>
    </row>
  </sheetData>
  <sortState ref="A8:P108">
    <sortCondition descending="1" ref="G8:G10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Economic losses</vt:lpstr>
      <vt:lpstr>Top GCAU (feed needs) by county</vt:lpstr>
      <vt:lpstr>NC_livestock_by_head-feed-lbs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Piggott</dc:creator>
  <cp:lastModifiedBy>Margaret M Huffman</cp:lastModifiedBy>
  <dcterms:created xsi:type="dcterms:W3CDTF">2018-09-16T14:43:23Z</dcterms:created>
  <dcterms:modified xsi:type="dcterms:W3CDTF">2018-10-22T13:07:42Z</dcterms:modified>
</cp:coreProperties>
</file>