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52" yWindow="456" windowWidth="12180" windowHeight="5496" tabRatio="599" firstSheet="3" activeTab="7"/>
  </bookViews>
  <sheets>
    <sheet name="Cover" sheetId="1" r:id="rId1"/>
    <sheet name="Assumptions" sheetId="2" r:id="rId2"/>
    <sheet name="Budget" sheetId="3" r:id="rId3"/>
    <sheet name="BudgetSummary" sheetId="4" r:id="rId4"/>
    <sheet name="Returns" sheetId="5" r:id="rId5"/>
    <sheet name="Machinery" sheetId="6" r:id="rId6"/>
    <sheet name="Materials" sheetId="7" r:id="rId7"/>
    <sheet name="Labor" sheetId="8" r:id="rId8"/>
    <sheet name="ProductionSequence" sheetId="9" r:id="rId9"/>
  </sheets>
  <definedNames>
    <definedName name="_xlnm.Print_Area" localSheetId="1">'Assumptions'!$A$1:$I$56</definedName>
    <definedName name="_xlnm.Print_Area" localSheetId="5">'Machinery'!$A$1:$U$28</definedName>
    <definedName name="_xlnm.Print_Area" localSheetId="6">'Materials'!$A$1:$G$54</definedName>
    <definedName name="_xlnm.Print_Area" localSheetId="8">'ProductionSequence'!$A$1:$Q$97</definedName>
    <definedName name="_xlnm.Print_Area" localSheetId="4">'Returns'!$B$1:$I$14</definedName>
  </definedNames>
  <calcPr fullCalcOnLoad="1"/>
</workbook>
</file>

<file path=xl/sharedStrings.xml><?xml version="1.0" encoding="utf-8"?>
<sst xmlns="http://schemas.openxmlformats.org/spreadsheetml/2006/main" count="771" uniqueCount="392">
  <si>
    <t>November</t>
  </si>
  <si>
    <t>December</t>
  </si>
  <si>
    <t xml:space="preserve"> </t>
  </si>
  <si>
    <t>Month</t>
  </si>
  <si>
    <t>Materials used</t>
  </si>
  <si>
    <t>Labor used</t>
  </si>
  <si>
    <t>Summary</t>
  </si>
  <si>
    <t>Cumulative</t>
  </si>
  <si>
    <t>hrs</t>
  </si>
  <si>
    <t>cost/hr</t>
  </si>
  <si>
    <t>eqcost</t>
  </si>
  <si>
    <t>price</t>
  </si>
  <si>
    <t xml:space="preserve">unit </t>
  </si>
  <si>
    <t>matcost</t>
  </si>
  <si>
    <t>cost</t>
  </si>
  <si>
    <t>costs</t>
  </si>
  <si>
    <t>Internet service</t>
  </si>
  <si>
    <t>October</t>
  </si>
  <si>
    <t>May</t>
  </si>
  <si>
    <t>Total May</t>
  </si>
  <si>
    <t>Plow Field</t>
  </si>
  <si>
    <t>Disc Field</t>
  </si>
  <si>
    <t>60 HP-WT &amp; Disc</t>
  </si>
  <si>
    <t>Total October</t>
  </si>
  <si>
    <t>Taxes</t>
  </si>
  <si>
    <t>Real Estate Taxes</t>
  </si>
  <si>
    <t>Management</t>
  </si>
  <si>
    <t>Management Fee</t>
  </si>
  <si>
    <t xml:space="preserve">Land Cost </t>
  </si>
  <si>
    <t>Net Land Rent</t>
  </si>
  <si>
    <t>Annual</t>
  </si>
  <si>
    <t>Miscellaneous</t>
  </si>
  <si>
    <t>Overhead</t>
  </si>
  <si>
    <t>Utilities, Legal, Accounting, Etc.</t>
  </si>
  <si>
    <t>Annual Administrative Costs + Taxes</t>
  </si>
  <si>
    <t>Total Annual Administrative Costs + Taxes</t>
  </si>
  <si>
    <t>Seasonal Costs</t>
  </si>
  <si>
    <t>Pick-up</t>
  </si>
  <si>
    <t>1/2 Ton Pick-up</t>
  </si>
  <si>
    <t>Operating Capital</t>
  </si>
  <si>
    <t>Total Seasonal Costs</t>
  </si>
  <si>
    <t>Seasonal</t>
  </si>
  <si>
    <t>April</t>
  </si>
  <si>
    <t>Total April</t>
  </si>
  <si>
    <t>lbs</t>
  </si>
  <si>
    <t xml:space="preserve"> Type op.</t>
  </si>
  <si>
    <t>Descr.</t>
  </si>
  <si>
    <t>Attend Grower Meeting</t>
  </si>
  <si>
    <t>February</t>
  </si>
  <si>
    <t>Total February</t>
  </si>
  <si>
    <t>January</t>
  </si>
  <si>
    <t xml:space="preserve">Attend Grower Meetings </t>
  </si>
  <si>
    <t>March</t>
  </si>
  <si>
    <t>Utility Trailer &amp; Hand Labor</t>
  </si>
  <si>
    <t>Total March</t>
  </si>
  <si>
    <t>Hand Labor</t>
  </si>
  <si>
    <t>June</t>
  </si>
  <si>
    <t>Total June</t>
  </si>
  <si>
    <t>July</t>
  </si>
  <si>
    <t>Total July</t>
  </si>
  <si>
    <t>August</t>
  </si>
  <si>
    <t>September</t>
  </si>
  <si>
    <t>oz</t>
  </si>
  <si>
    <t>Equipment</t>
  </si>
  <si>
    <t>Materials</t>
  </si>
  <si>
    <t>Labor</t>
  </si>
  <si>
    <t>Total</t>
  </si>
  <si>
    <t>Cost</t>
  </si>
  <si>
    <t>Material</t>
  </si>
  <si>
    <t>Rate/</t>
  </si>
  <si>
    <t>Unit</t>
  </si>
  <si>
    <t>Cost/</t>
  </si>
  <si>
    <t>Acre</t>
  </si>
  <si>
    <t>Fumigant</t>
  </si>
  <si>
    <t>Total Fumigants</t>
  </si>
  <si>
    <t>Herbicides</t>
  </si>
  <si>
    <t>Total Herbicides</t>
  </si>
  <si>
    <t>Fungicides</t>
  </si>
  <si>
    <t>Total Fungicides</t>
  </si>
  <si>
    <t>General</t>
  </si>
  <si>
    <t>2400' roll</t>
  </si>
  <si>
    <t>6000ft</t>
  </si>
  <si>
    <t>Total General</t>
  </si>
  <si>
    <t>Machinery Description</t>
  </si>
  <si>
    <t>Purchase Price</t>
  </si>
  <si>
    <t>Salvage Value</t>
  </si>
  <si>
    <t>Years of Life</t>
  </si>
  <si>
    <t>Depreciation</t>
  </si>
  <si>
    <t>Insurance</t>
  </si>
  <si>
    <t>Interest</t>
  </si>
  <si>
    <t>Total Ownership Cost / Year</t>
  </si>
  <si>
    <t>Total Annual Operating Costs</t>
  </si>
  <si>
    <t>Tractor, 60hp</t>
  </si>
  <si>
    <t>60 HP</t>
  </si>
  <si>
    <t>7'</t>
  </si>
  <si>
    <t>9' Disc</t>
  </si>
  <si>
    <t>Utility Trailer</t>
  </si>
  <si>
    <t>1/2 Ton Pickup</t>
  </si>
  <si>
    <t>Total Annual Cost to Farm Business</t>
  </si>
  <si>
    <t>Fertilizer Injector</t>
  </si>
  <si>
    <t>Boom Sprayer 1</t>
  </si>
  <si>
    <t>PTO Blast Sprayer 1</t>
  </si>
  <si>
    <t>7' Tine Chisel Plow</t>
  </si>
  <si>
    <t>Plastic Layer / Fumigator</t>
  </si>
  <si>
    <t>60 HP-WT &amp; 7' Tine Chisel Plow</t>
  </si>
  <si>
    <t>Plastic film</t>
  </si>
  <si>
    <t>Drip tape</t>
  </si>
  <si>
    <t>2 row - 40"/row</t>
  </si>
  <si>
    <t>single axe</t>
  </si>
  <si>
    <t>55 gal</t>
  </si>
  <si>
    <t>110 gal</t>
  </si>
  <si>
    <t>Insecticides</t>
  </si>
  <si>
    <t>Total Insecticides</t>
  </si>
  <si>
    <t>Total Fertilizers &amp; Nutrients</t>
  </si>
  <si>
    <t>Fertilizers &amp; Nutrients</t>
  </si>
  <si>
    <t>Costs</t>
  </si>
  <si>
    <t>Annual Charges</t>
  </si>
  <si>
    <t>Seasonal Charges</t>
  </si>
  <si>
    <t>(Hours)</t>
  </si>
  <si>
    <t>qty</t>
  </si>
  <si>
    <t>-</t>
  </si>
  <si>
    <t>Drip Irrigation Syst. &amp; Pump**</t>
  </si>
  <si>
    <t>Loan Interest Rate</t>
  </si>
  <si>
    <t>Insurance Rate</t>
  </si>
  <si>
    <t>Tax Rate</t>
  </si>
  <si>
    <t>Tractor 30 hp (D)</t>
  </si>
  <si>
    <t>Tractor 60 hp (D)</t>
  </si>
  <si>
    <t>Utility Vehicle (G)</t>
  </si>
  <si>
    <t>Annual Hours of Use</t>
  </si>
  <si>
    <t>Harvest Labor</t>
  </si>
  <si>
    <t>Picking Labor</t>
  </si>
  <si>
    <t>Culled</t>
  </si>
  <si>
    <t>Yield</t>
  </si>
  <si>
    <t>LABOR COST WORKSHEET</t>
  </si>
  <si>
    <t>(Fill in blue cells as appropriate)</t>
  </si>
  <si>
    <t>Employee Name:</t>
  </si>
  <si>
    <t>Title:</t>
  </si>
  <si>
    <t>Employee</t>
  </si>
  <si>
    <t>Owner Name</t>
  </si>
  <si>
    <t>Boss</t>
  </si>
  <si>
    <r>
      <t>Required Payroll Expenses</t>
    </r>
    <r>
      <rPr>
        <sz val="10"/>
        <rFont val="Arial"/>
        <family val="0"/>
      </rPr>
      <t>:</t>
    </r>
  </si>
  <si>
    <t>Employer Costs</t>
  </si>
  <si>
    <t>1.  Wages:</t>
  </si>
  <si>
    <t>a.</t>
  </si>
  <si>
    <t>Hrs/Wk:</t>
  </si>
  <si>
    <t>x Weeks:</t>
  </si>
  <si>
    <t>b.</t>
  </si>
  <si>
    <t>Total Hrs:</t>
  </si>
  <si>
    <t>x $/HR:</t>
  </si>
  <si>
    <t>2.  Employer Share of OASDI:</t>
  </si>
  <si>
    <t xml:space="preserve"> of first</t>
  </si>
  <si>
    <t xml:space="preserve">     Employer Share of HI:</t>
  </si>
  <si>
    <t xml:space="preserve"> 3.  Unemployment Insurance</t>
  </si>
  <si>
    <t>State</t>
  </si>
  <si>
    <t>of first</t>
  </si>
  <si>
    <t>Federal</t>
  </si>
  <si>
    <t>4.  Workman's Compensation Insurance:</t>
  </si>
  <si>
    <t>per $100</t>
  </si>
  <si>
    <r>
      <t xml:space="preserve">5.  Total Required Payroll Expenses: </t>
    </r>
    <r>
      <rPr>
        <sz val="10"/>
        <rFont val="Arial"/>
        <family val="2"/>
      </rPr>
      <t>(Lines 1 +2 + 3 + 4)</t>
    </r>
  </si>
  <si>
    <t>Fringe Benefits:</t>
  </si>
  <si>
    <t>6.  Cash Bonuses:</t>
  </si>
  <si>
    <t>7.  Insurance:</t>
  </si>
  <si>
    <t>a. Health</t>
  </si>
  <si>
    <t>b. Medical</t>
  </si>
  <si>
    <t>c. Life</t>
  </si>
  <si>
    <t>d. Dental</t>
  </si>
  <si>
    <t>e. Eye Care</t>
  </si>
  <si>
    <t>f. Other:</t>
  </si>
  <si>
    <t>g. Other</t>
  </si>
  <si>
    <t>SUBTOTAL</t>
  </si>
  <si>
    <t>8.  Retirement Plan:</t>
  </si>
  <si>
    <t>9.  Uniforms:</t>
  </si>
  <si>
    <t>10. Travel Allowance:</t>
  </si>
  <si>
    <t>11. Transportation</t>
  </si>
  <si>
    <t>12. Tuition Assistance or Continuing Education</t>
  </si>
  <si>
    <t>13. Company Vehicle</t>
  </si>
  <si>
    <t>14. Other</t>
  </si>
  <si>
    <t>15. Other</t>
  </si>
  <si>
    <t>16. Other</t>
  </si>
  <si>
    <t>17. Other</t>
  </si>
  <si>
    <r>
      <t>18.</t>
    </r>
    <r>
      <rPr>
        <sz val="10"/>
        <rFont val="Arial"/>
        <family val="0"/>
      </rPr>
      <t xml:space="preserve"> </t>
    </r>
    <r>
      <rPr>
        <b/>
        <sz val="10"/>
        <rFont val="Arial"/>
        <family val="2"/>
      </rPr>
      <t>Total Value of Fringe Benefits</t>
    </r>
    <r>
      <rPr>
        <sz val="10"/>
        <rFont val="Arial"/>
        <family val="2"/>
      </rPr>
      <t>: (Lines 6 thru 17)</t>
    </r>
  </si>
  <si>
    <r>
      <t xml:space="preserve">19. TOTAL PAYROLL EXPENSES: </t>
    </r>
    <r>
      <rPr>
        <sz val="10"/>
        <rFont val="Arial"/>
        <family val="2"/>
      </rPr>
      <t>(Line 5 + 18)</t>
    </r>
  </si>
  <si>
    <t>20. Paid Hours Not Worked:</t>
  </si>
  <si>
    <t xml:space="preserve">     a. Holidays</t>
  </si>
  <si>
    <t>Days x 8 Hours =</t>
  </si>
  <si>
    <t>Hrs.</t>
  </si>
  <si>
    <t xml:space="preserve">     b. Vacation</t>
  </si>
  <si>
    <t xml:space="preserve">     c. Sick</t>
  </si>
  <si>
    <t>21. Total hours paid but not worked:</t>
  </si>
  <si>
    <t>Hrs</t>
  </si>
  <si>
    <t>22. Total Hours on the Job:</t>
  </si>
  <si>
    <r>
      <t xml:space="preserve">23. TOTAL COST PER HOUR ON THE JOB: </t>
    </r>
    <r>
      <rPr>
        <sz val="10"/>
        <rFont val="Arial"/>
        <family val="2"/>
      </rPr>
      <t>(Line 19/Line 22)</t>
    </r>
  </si>
  <si>
    <t>Your</t>
  </si>
  <si>
    <t>Type of Operation</t>
  </si>
  <si>
    <t>Annual Administrative Costs</t>
  </si>
  <si>
    <t>Total Annual Administrative Costs</t>
  </si>
  <si>
    <t>Overhead (Utilities, legal fees, etc.)</t>
  </si>
  <si>
    <t xml:space="preserve">Your </t>
  </si>
  <si>
    <t>Estimate</t>
  </si>
  <si>
    <t>($/A)</t>
  </si>
  <si>
    <t>Annual Grower Meeting</t>
  </si>
  <si>
    <t>each</t>
  </si>
  <si>
    <t>Remove Plastic</t>
  </si>
  <si>
    <t>Marketable</t>
  </si>
  <si>
    <t>Harvest</t>
  </si>
  <si>
    <t>pounds,  or</t>
  </si>
  <si>
    <t xml:space="preserve">   (Marketable Yield =</t>
  </si>
  <si>
    <t>Pounds</t>
  </si>
  <si>
    <t>$/Pound</t>
  </si>
  <si>
    <t>Marketing Assumptions:</t>
  </si>
  <si>
    <t>Harvest Labor Cost</t>
  </si>
  <si>
    <t xml:space="preserve">Production Labor </t>
  </si>
  <si>
    <t>Selected Input prices:</t>
  </si>
  <si>
    <t>Percent of Base Yield</t>
  </si>
  <si>
    <t>Capital Recovery</t>
  </si>
  <si>
    <t>Fixed   Cost/Hr</t>
  </si>
  <si>
    <t>Variable Cost/Hr</t>
  </si>
  <si>
    <t>Annual Depreciation</t>
  </si>
  <si>
    <t>Annual Fuel &amp; Lubricant Costs</t>
  </si>
  <si>
    <t>Repair &amp; Maintenance Cost</t>
  </si>
  <si>
    <t>Estimated Annual Total Cost/Yr</t>
  </si>
  <si>
    <t xml:space="preserve">Total   Cost/Hr </t>
  </si>
  <si>
    <t>Vehicle Description</t>
  </si>
  <si>
    <t>Estimated Fuel Price        ($/gal)</t>
  </si>
  <si>
    <t>Estimated Fuel Used per Hour (gals)</t>
  </si>
  <si>
    <t>Lubricants as a Percent of Fuel Cost</t>
  </si>
  <si>
    <t>Estimated Average Speed</t>
  </si>
  <si>
    <t>Estimated Fuel Cost/Hour</t>
  </si>
  <si>
    <t>Estimated Lubricant Cost/Hour</t>
  </si>
  <si>
    <t>Total Estimated Fuel &amp; Lube Cost/Hour</t>
  </si>
  <si>
    <t>Annual Administrative &amp; Seasonal Costs</t>
  </si>
  <si>
    <t>This budget is only a guide and is not meant to be a substitute for growers calculating their own costs and estimating their own breakeven yields. Costs vary from grower to grower due to market conditions, labor supply, age and condition of the machinery and equipment, managerial skill, and many other factors. Since every situation is different, it is recommended that every grower estimate their individual production, harvesting and marketing costs based on their own production techniques, price expectations, local supply of labor, and market situation.</t>
  </si>
  <si>
    <t>It is also recommended that growers develop a marketing plan and have a marketing strategy before investing in a commercial operation. Production of high value produce is a risky business and the risk increases without a stable marketing outlet. In extreme cases, growers have experienced financial losses when they were not able to find a suitable market outlet and/or when they did not meet the buyer’s expectations.</t>
  </si>
  <si>
    <t>in the Southeastern United States</t>
  </si>
  <si>
    <t>Budgeting Program Developed By:</t>
  </si>
  <si>
    <t>1/2 Ton Pickup (G)</t>
  </si>
  <si>
    <t xml:space="preserve"> $/hour</t>
  </si>
  <si>
    <t>Owner Expense</t>
  </si>
  <si>
    <t xml:space="preserve">   Base Wage</t>
  </si>
  <si>
    <t xml:space="preserve">   Total Business Expense </t>
  </si>
  <si>
    <t>Employee Expense</t>
  </si>
  <si>
    <t xml:space="preserve">Projected Base Yields </t>
  </si>
  <si>
    <t>Fuel and Lubricant Costs</t>
  </si>
  <si>
    <t>Estimated Average Mileage per Gallon</t>
  </si>
  <si>
    <t>Machinery and Vehicle by Fuel Type</t>
  </si>
  <si>
    <t xml:space="preserve">Tomato MB Base Production Sequence. </t>
  </si>
  <si>
    <t>Subsoil Field</t>
  </si>
  <si>
    <t>Subsoiler</t>
  </si>
  <si>
    <t>Preplant Fertilizer</t>
  </si>
  <si>
    <t>60 HP-WT &amp; Rotary Spreader</t>
  </si>
  <si>
    <t>10-20-10</t>
  </si>
  <si>
    <t>Rotary Spreader</t>
  </si>
  <si>
    <t>Assemble Irrigation System</t>
  </si>
  <si>
    <t>Assemble Irr Syst</t>
  </si>
  <si>
    <t>Bedding and Fumigation</t>
  </si>
  <si>
    <t>60 HP-WT &amp; Fumigator</t>
  </si>
  <si>
    <t xml:space="preserve">Plastic film </t>
  </si>
  <si>
    <t>Purchase Plugs</t>
  </si>
  <si>
    <t>Fertilize  Plugs</t>
  </si>
  <si>
    <t>20-20-20</t>
  </si>
  <si>
    <t>Transplant plugs</t>
  </si>
  <si>
    <t>Drip Irrigation</t>
  </si>
  <si>
    <t>Tomato Plugs</t>
  </si>
  <si>
    <t>Tomato Plugs to replant (2%)</t>
  </si>
  <si>
    <t>Replant 2%</t>
  </si>
  <si>
    <t>60 HP-WT &amp; Water Wheel</t>
  </si>
  <si>
    <t>Pottasium Nitrate</t>
  </si>
  <si>
    <t>Calcium Nitrate</t>
  </si>
  <si>
    <t>String x2</t>
  </si>
  <si>
    <t>Prune</t>
  </si>
  <si>
    <t>Staking</t>
  </si>
  <si>
    <t>Weekly sprays</t>
  </si>
  <si>
    <t>Aphid Dimethoate</t>
  </si>
  <si>
    <t>Thrips Spintor</t>
  </si>
  <si>
    <t>Fruit Worm Asana x3</t>
  </si>
  <si>
    <t>Early Blight Quadris</t>
  </si>
  <si>
    <t>Early Blight Bravo Ultrex</t>
  </si>
  <si>
    <t>Late Blight Maneb x3</t>
  </si>
  <si>
    <t>Late Blight Actiguard x2</t>
  </si>
  <si>
    <t>Bacterial Koside 101 x3</t>
  </si>
  <si>
    <t>Post-Emergent Herbicide</t>
  </si>
  <si>
    <t>Paraquat</t>
  </si>
  <si>
    <t>Sencor</t>
  </si>
  <si>
    <t>Calcium nitrate (applied daily, monthly rate)</t>
  </si>
  <si>
    <t>Potassium nitrate (applied daily, monthly rate)</t>
  </si>
  <si>
    <t>Drip System &amp; Fertilizer Injector</t>
  </si>
  <si>
    <t>String</t>
  </si>
  <si>
    <t>box</t>
  </si>
  <si>
    <t>Stakes</t>
  </si>
  <si>
    <t>40c/100ft</t>
  </si>
  <si>
    <t>55c/100ft</t>
  </si>
  <si>
    <t>60c/100ft</t>
  </si>
  <si>
    <t>60 HP-WT &amp; PTO Blast Sprayer</t>
  </si>
  <si>
    <t>Fruit Worm Asana</t>
  </si>
  <si>
    <t>pt</t>
  </si>
  <si>
    <t>Late Blight Maneb</t>
  </si>
  <si>
    <t>Late Blight Actiguard</t>
  </si>
  <si>
    <t>Bacterial Kocide 101</t>
  </si>
  <si>
    <t>Poast</t>
  </si>
  <si>
    <t>60 HP-WT &amp;Boom sprayer</t>
  </si>
  <si>
    <t>Early Blight Bravo Ultrex x2</t>
  </si>
  <si>
    <t>Late Blight Actiguard x3</t>
  </si>
  <si>
    <t>Bacterial Koside 101 x4</t>
  </si>
  <si>
    <t>Fruit Worm Asana x2</t>
  </si>
  <si>
    <t>Early Blight Quadris x2</t>
  </si>
  <si>
    <t xml:space="preserve">Late Blight Actiguard </t>
  </si>
  <si>
    <t xml:space="preserve">Bacterial Koside 101 </t>
  </si>
  <si>
    <t>Dispose Plastic</t>
  </si>
  <si>
    <t>Disk Field</t>
  </si>
  <si>
    <t>Apply Lime</t>
  </si>
  <si>
    <t>60 HP-WT &amp; Lifter &amp; Hand Labor</t>
  </si>
  <si>
    <t>Pickup Truck</t>
  </si>
  <si>
    <t>Custom</t>
  </si>
  <si>
    <t>ton</t>
  </si>
  <si>
    <t>Internet Service</t>
  </si>
  <si>
    <t>Plastic Mulch Lifter</t>
  </si>
  <si>
    <t>60 HP-WT &amp; Grain Drill 10'</t>
  </si>
  <si>
    <t>Plant Rye for Cover Crop</t>
  </si>
  <si>
    <t>Rye Seeds (cover crop)</t>
  </si>
  <si>
    <t>bushel</t>
  </si>
  <si>
    <t>Custom Lime Application</t>
  </si>
  <si>
    <t>Grain Drill</t>
  </si>
  <si>
    <t>Costs of Materials Used in Tomato Production</t>
  </si>
  <si>
    <t>The spray schedule in this budget is based on a typical year, however, as any grower knows, each year is different and therefore your pests and means of control will likely vary from what is listed. Mention of a product or vendor does not constitute a guarantee or warranty of the product, nor does it imply recommendation of one product over another. Other products may be suitable depending on soils, weather conditions, farm history, and pest pressures.</t>
  </si>
  <si>
    <t>ESTIMATED TOMATO PRODUCTION COSTS PER ACRE</t>
  </si>
  <si>
    <t xml:space="preserve">Marketable </t>
  </si>
  <si>
    <t>25lb boxes)</t>
  </si>
  <si>
    <t>TOTAL COSTS</t>
  </si>
  <si>
    <t xml:space="preserve">TOTAL ANNUAL COSTS </t>
  </si>
  <si>
    <t>ESTIMATED TOMATO PRODUCTION COSTS PER ACRE SUMMARY</t>
  </si>
  <si>
    <t>Jumbo and XL fruit</t>
  </si>
  <si>
    <t xml:space="preserve">Large fruit </t>
  </si>
  <si>
    <t>Medium and small fruit</t>
  </si>
  <si>
    <t>25 lb Boxes</t>
  </si>
  <si>
    <t>Market Prices $/25 lb Box</t>
  </si>
  <si>
    <t>Culled Fruit</t>
  </si>
  <si>
    <t xml:space="preserve"> $/25lb box</t>
  </si>
  <si>
    <t>Gasoline price</t>
  </si>
  <si>
    <t>Diesel price</t>
  </si>
  <si>
    <t xml:space="preserve"> $/gal</t>
  </si>
  <si>
    <t>Total per Year</t>
  </si>
  <si>
    <t>Percent</t>
  </si>
  <si>
    <t>Estimated Returns per Acre for Commercial Tomato Production</t>
  </si>
  <si>
    <t>25 lb box</t>
  </si>
  <si>
    <t>Cull</t>
  </si>
  <si>
    <t>J Doe - Employee</t>
  </si>
  <si>
    <t>Owner - Operation</t>
  </si>
  <si>
    <t>Fertilizer Injector (modified)</t>
  </si>
  <si>
    <t>Fumigation Rig (modified)</t>
  </si>
  <si>
    <t>60 HP-WT &amp; Subsoiler</t>
  </si>
  <si>
    <t>Rototiller</t>
  </si>
  <si>
    <t>Frank Louws</t>
  </si>
  <si>
    <t>North Carolina State University, Raleigh, NC 27695-7616</t>
  </si>
  <si>
    <t xml:space="preserve"> Cost of Producing, Harvesting and Marketing Field Grown Tomatoes  </t>
  </si>
  <si>
    <t>North Carolina State University, Raleigh, NC 27695-8109</t>
  </si>
  <si>
    <t>Researcher, Department of Agricultural and Resource Economics</t>
  </si>
  <si>
    <t>Professor, Department of Plant Pathology</t>
  </si>
  <si>
    <t>This budget presents the estimated costs of producing and harvesting tomatoes in the Southeastern United States. The cost estimates are presented on a per acre basis. It was also  assumed that the management would be near optimal and that all currently recommended practices by the Agricultural Extension Service would be followed.</t>
  </si>
  <si>
    <t>acre</t>
  </si>
  <si>
    <t>Chris Gunter</t>
  </si>
  <si>
    <t>Assistant Professor, Department of Horticultural Science</t>
  </si>
  <si>
    <t>North Carolina State University, Raleigh, NC 27695-7609</t>
  </si>
  <si>
    <t>( --------------------------- Dollars per Acre ----------------------------)</t>
  </si>
  <si>
    <t>ESTIMATED LABOR PER ACRE SUMMARY</t>
  </si>
  <si>
    <t>Yield Category</t>
  </si>
  <si>
    <t>Sale</t>
  </si>
  <si>
    <t>Price</t>
  </si>
  <si>
    <t>(Lbs/Acre)</t>
  </si>
  <si>
    <t>($/Lb)</t>
  </si>
  <si>
    <t>Gross</t>
  </si>
  <si>
    <t>Revenue</t>
  </si>
  <si>
    <t>Production</t>
  </si>
  <si>
    <t>Net</t>
  </si>
  <si>
    <t>Returns</t>
  </si>
  <si>
    <t>Annual Production Costs</t>
  </si>
  <si>
    <t>KEY ASSUMPTIONS FOR ESTIMATING TOMATO PRODUCTION COSTS AND RETURNS</t>
  </si>
  <si>
    <t xml:space="preserve"> lbs/acre</t>
  </si>
  <si>
    <t>Estimated Costs of Owning and Operating the Machinery and Equipment Required for the Production of Tomatoes</t>
  </si>
  <si>
    <t xml:space="preserve">The values in the blue cells of the spreadsheets with red tabs are input values that users can either </t>
  </si>
  <si>
    <t xml:space="preserve">accept or replace with their own estimates. The values in all other cells are calculated based on the  </t>
  </si>
  <si>
    <t xml:space="preserve">inputted values. Users can receive a quick estimate of their costs and returns by entering their own </t>
  </si>
  <si>
    <t>Chloroplicrin</t>
  </si>
  <si>
    <t>Chloropicrin</t>
  </si>
  <si>
    <t>May 2012</t>
  </si>
  <si>
    <t>Olya Sydorovych</t>
  </si>
  <si>
    <t>Questions or Comments:  Olya Sydorovych @ obsydoro@ncsu.edu</t>
  </si>
  <si>
    <r>
      <t xml:space="preserve">estimates for the selected "key" values displayed in blue cells in the </t>
    </r>
    <r>
      <rPr>
        <i/>
        <sz val="10"/>
        <rFont val="Arial"/>
        <family val="2"/>
      </rPr>
      <t>Assumptions</t>
    </r>
    <r>
      <rPr>
        <sz val="10"/>
        <rFont val="Arial"/>
        <family val="2"/>
      </rPr>
      <t xml:space="preserve"> worksheet, while</t>
    </r>
  </si>
  <si>
    <t>those who would like more detailed estimates can fill in the blue cells in the Machinery, Materials,</t>
  </si>
  <si>
    <r>
      <t xml:space="preserve">Labor, and/or ProductionSequence </t>
    </r>
    <r>
      <rPr>
        <sz val="10"/>
        <rFont val="Arial"/>
        <family val="2"/>
      </rPr>
      <t>worksheets.</t>
    </r>
    <r>
      <rPr>
        <i/>
        <sz val="10"/>
        <rFont val="Arial"/>
        <family val="2"/>
      </rPr>
      <t xml:space="preserve"> </t>
    </r>
  </si>
  <si>
    <t>Transplant Plugs</t>
  </si>
  <si>
    <t>Weekly Sprays</t>
  </si>
  <si>
    <t>Fertilize Plugs</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</si>
</sst>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0.000"/>
    <numFmt numFmtId="167" formatCode="[$$-409]#,##0.00"/>
    <numFmt numFmtId="168" formatCode="[$$-409]#,##0.000"/>
    <numFmt numFmtId="169" formatCode="#,##0.000"/>
    <numFmt numFmtId="170" formatCode="_(&quot;$&quot;* #,##0.000_);_(&quot;$&quot;* \(#,##0.000\);_(&quot;$&quot;* &quot;-&quot;???_);_(@_)"/>
    <numFmt numFmtId="171" formatCode="&quot;$&quot;#,##0.000_);\(&quot;$&quot;#,##0.000\)"/>
    <numFmt numFmtId="172" formatCode="&quot;$&quot;#,##0.000;[Red]&quot;$&quot;#,##0.000"/>
    <numFmt numFmtId="173" formatCode="#,##0.000;[Red]#,##0.000"/>
    <numFmt numFmtId="174" formatCode="&quot;$&quot;#,##0.00;[Red]&quot;$&quot;#,##0.00"/>
    <numFmt numFmtId="175" formatCode="&quot;Yes&quot;;&quot;Yes&quot;;&quot;No&quot;"/>
    <numFmt numFmtId="176" formatCode="&quot;True&quot;;&quot;True&quot;;&quot;False&quot;"/>
    <numFmt numFmtId="177" formatCode="&quot;On&quot;;&quot;On&quot;;&quot;Off&quot;"/>
    <numFmt numFmtId="178" formatCode="[$€-2]\ #,##0.00_);[Red]\([$€-2]\ #,##0.00\)"/>
    <numFmt numFmtId="179" formatCode="&quot;$&quot;#,##0.000_);[Red]\(&quot;$&quot;#,##0.000\)"/>
    <numFmt numFmtId="180" formatCode="&quot;$&quot;#,##0"/>
    <numFmt numFmtId="181" formatCode="_(* #,##0_);_(* \(#,##0\);_(* &quot;-&quot;??_);_(@_)"/>
    <numFmt numFmtId="182" formatCode="#,##0;[Red]#,##0"/>
    <numFmt numFmtId="183" formatCode="_(* #,##0.000_);_(* \(#,##0.000\);_(* &quot;-&quot;???_);_(@_)"/>
    <numFmt numFmtId="184" formatCode="_(* #,##0.00000_);_(* \(#,##0.00000\);_(* &quot;-&quot;?????_);_(@_)"/>
    <numFmt numFmtId="185" formatCode="0.0000"/>
    <numFmt numFmtId="186" formatCode="&quot;$&quot;#,##0.0000"/>
    <numFmt numFmtId="187" formatCode="[$-409]h:mm:ss\ AM/PM"/>
    <numFmt numFmtId="188" formatCode="0.0"/>
    <numFmt numFmtId="189" formatCode="_(* #,##0.0_);_(* \(#,##0.0\);_(* &quot;-&quot;?_);_(@_)"/>
    <numFmt numFmtId="190" formatCode="&quot;$&quot;#,##0.0000_);[Red]\(&quot;$&quot;#,##0.0000\)"/>
    <numFmt numFmtId="191" formatCode="0.0%"/>
    <numFmt numFmtId="192" formatCode="#,##0.0"/>
    <numFmt numFmtId="193" formatCode="&quot;$&quot;#,##0.000000"/>
    <numFmt numFmtId="194" formatCode="&quot;$&quot;#,##0.00000"/>
    <numFmt numFmtId="195" formatCode="#,##0.0000"/>
    <numFmt numFmtId="196" formatCode="#,##0.000_);\(#,##0.000\)"/>
    <numFmt numFmtId="197" formatCode="&quot;$&quot;#,##0.000000000"/>
    <numFmt numFmtId="198" formatCode="#,##0.000_);[Red]\(#,##0.000\)"/>
    <numFmt numFmtId="199" formatCode="0.000%"/>
    <numFmt numFmtId="200" formatCode="&quot;$&quot;#,##0.0000000"/>
    <numFmt numFmtId="201" formatCode="&quot;$&quot;#,##0.00000000"/>
    <numFmt numFmtId="202" formatCode="#,##0.0000_);[Red]\(#,##0.0000\)"/>
    <numFmt numFmtId="203" formatCode="&quot;$&quot;#,##0.0"/>
    <numFmt numFmtId="204" formatCode="[$-409]dddd\,\ mmmm\ dd\,\ yyyy"/>
    <numFmt numFmtId="205" formatCode="[$-409]d\-mmm\-yy;@"/>
    <numFmt numFmtId="206" formatCode="[$-409]d\-mmm\-yyyy;@"/>
    <numFmt numFmtId="207" formatCode="[$-409]mmmm\-yy;@"/>
    <numFmt numFmtId="208" formatCode="[$-409]mmm\-yy;@"/>
    <numFmt numFmtId="209" formatCode="&quot;$&quot;#,##0.0_);[Red]\(&quot;$&quot;#,##0.0\)"/>
    <numFmt numFmtId="210" formatCode="_(* #,##0.0_);_(* \(#,##0.0\);_(* &quot;-&quot;??_);_(@_)"/>
    <numFmt numFmtId="211" formatCode="#,##0.00;[Red]#,##0.00"/>
    <numFmt numFmtId="212" formatCode="#,##0.0;[Red]#,##0.0"/>
  </numFmts>
  <fonts count="58">
    <font>
      <sz val="10"/>
      <name val="Arial"/>
      <family val="0"/>
    </font>
    <font>
      <b/>
      <sz val="6"/>
      <name val="Arial"/>
      <family val="2"/>
    </font>
    <font>
      <u val="single"/>
      <sz val="10"/>
      <color indexed="30"/>
      <name val="Arial"/>
      <family val="2"/>
    </font>
    <font>
      <u val="single"/>
      <sz val="10"/>
      <color indexed="20"/>
      <name val="Arial"/>
      <family val="2"/>
    </font>
    <font>
      <b/>
      <sz val="8"/>
      <name val="Arial"/>
      <family val="2"/>
    </font>
    <font>
      <b/>
      <sz val="10"/>
      <name val="Arial"/>
      <family val="2"/>
    </font>
    <font>
      <sz val="8"/>
      <name val="Arial"/>
      <family val="2"/>
    </font>
    <font>
      <b/>
      <i/>
      <sz val="8"/>
      <name val="Arial"/>
      <family val="2"/>
    </font>
    <font>
      <sz val="9"/>
      <name val="Arial"/>
      <family val="2"/>
    </font>
    <font>
      <sz val="10"/>
      <color indexed="12"/>
      <name val="Arial"/>
      <family val="2"/>
    </font>
    <font>
      <sz val="10"/>
      <name val="Times New Roman"/>
      <family val="1"/>
    </font>
    <font>
      <sz val="8"/>
      <color indexed="12"/>
      <name val="Arial"/>
      <family val="2"/>
    </font>
    <font>
      <b/>
      <sz val="9"/>
      <name val="Arial"/>
      <family val="2"/>
    </font>
    <font>
      <u val="single"/>
      <sz val="10"/>
      <name val="Arial"/>
      <family val="2"/>
    </font>
    <font>
      <b/>
      <u val="single"/>
      <sz val="10"/>
      <name val="Arial"/>
      <family val="2"/>
    </font>
    <font>
      <sz val="9"/>
      <color indexed="8"/>
      <name val="Arial"/>
      <family val="2"/>
    </font>
    <font>
      <b/>
      <sz val="9"/>
      <color indexed="8"/>
      <name val="Arial"/>
      <family val="2"/>
    </font>
    <font>
      <b/>
      <sz val="11"/>
      <name val="Arial"/>
      <family val="2"/>
    </font>
    <font>
      <sz val="11"/>
      <name val="Arial"/>
      <family val="2"/>
    </font>
    <font>
      <sz val="12"/>
      <name val="Times New Roman"/>
      <family val="1"/>
    </font>
    <font>
      <i/>
      <sz val="10"/>
      <name val="Arial"/>
      <family val="2"/>
    </font>
    <font>
      <b/>
      <i/>
      <sz val="8"/>
      <color indexed="62"/>
      <name val="Arial"/>
      <family val="2"/>
    </font>
    <font>
      <sz val="8"/>
      <color indexed="13"/>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41"/>
        <bgColor indexed="64"/>
      </patternFill>
    </fill>
    <fill>
      <patternFill patternType="solid">
        <fgColor rgb="FFC0C0C0"/>
        <bgColor indexed="64"/>
      </patternFill>
    </fill>
    <fill>
      <patternFill patternType="solid">
        <fgColor theme="0"/>
        <bgColor indexed="64"/>
      </patternFill>
    </fill>
    <fill>
      <patternFill patternType="solid">
        <fgColor theme="0" tint="-0.24997000396251678"/>
        <bgColor indexed="64"/>
      </patternFill>
    </fill>
    <fill>
      <patternFill patternType="solid">
        <fgColor indexed="13"/>
        <bgColor indexed="64"/>
      </patternFill>
    </fill>
    <fill>
      <patternFill patternType="solid">
        <fgColor indexed="23"/>
        <bgColor indexed="64"/>
      </patternFill>
    </fill>
    <fill>
      <patternFill patternType="solid">
        <fgColor rgb="FF969696"/>
        <bgColor indexed="64"/>
      </patternFill>
    </fill>
    <fill>
      <patternFill patternType="solid">
        <fgColor theme="0" tint="-0.4999699890613556"/>
        <bgColor indexed="64"/>
      </patternFill>
    </fill>
    <fill>
      <patternFill patternType="solid">
        <fgColor theme="3" tint="0.7999799847602844"/>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style="thick"/>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ck"/>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medium"/>
      <bottom>
        <color indexed="63"/>
      </bottom>
    </border>
    <border>
      <left style="thick"/>
      <right style="thin"/>
      <top style="thin"/>
      <bottom style="thin"/>
    </border>
    <border>
      <left style="thick"/>
      <right>
        <color indexed="63"/>
      </right>
      <top style="double"/>
      <bottom style="thick"/>
    </border>
    <border>
      <left>
        <color indexed="63"/>
      </left>
      <right>
        <color indexed="63"/>
      </right>
      <top style="double"/>
      <bottom style="thick"/>
    </border>
    <border>
      <left style="medium"/>
      <right style="medium"/>
      <top>
        <color indexed="63"/>
      </top>
      <bottom style="thin"/>
    </border>
    <border>
      <left style="medium"/>
      <right style="medium"/>
      <top style="thin"/>
      <bottom style="thin"/>
    </border>
    <border>
      <left style="thick"/>
      <right>
        <color indexed="63"/>
      </right>
      <top style="thick"/>
      <bottom>
        <color indexed="63"/>
      </bottom>
    </border>
    <border>
      <left>
        <color indexed="63"/>
      </left>
      <right>
        <color indexed="63"/>
      </right>
      <top style="thick"/>
      <bottom>
        <color indexed="63"/>
      </bottom>
    </border>
    <border>
      <left style="medium"/>
      <right style="medium"/>
      <top style="thick"/>
      <bottom>
        <color indexed="63"/>
      </bottom>
    </border>
    <border>
      <left style="thin"/>
      <right style="thick"/>
      <top style="thin"/>
      <bottom style="thin"/>
    </border>
    <border>
      <left style="thin"/>
      <right style="thin"/>
      <top style="double"/>
      <bottom style="thin"/>
    </border>
    <border>
      <left style="thin"/>
      <right style="thin"/>
      <top style="thin"/>
      <bottom style="thin"/>
    </border>
    <border>
      <left style="medium"/>
      <right>
        <color indexed="63"/>
      </right>
      <top style="thin"/>
      <bottom style="thin"/>
    </border>
    <border>
      <left style="medium"/>
      <right>
        <color indexed="63"/>
      </right>
      <top>
        <color indexed="63"/>
      </top>
      <bottom style="thin"/>
    </border>
    <border>
      <left style="thick"/>
      <right style="thin"/>
      <top style="double"/>
      <bottom style="thin"/>
    </border>
    <border>
      <left style="thin"/>
      <right style="thick"/>
      <top style="double"/>
      <bottom style="thin"/>
    </border>
    <border>
      <left style="medium"/>
      <right style="medium"/>
      <top style="medium"/>
      <bottom style="double"/>
    </border>
    <border>
      <left style="medium"/>
      <right style="medium"/>
      <top style="thick"/>
      <bottom style="double"/>
    </border>
    <border>
      <left style="medium"/>
      <right style="thick"/>
      <top style="thick"/>
      <bottom style="double"/>
    </border>
    <border>
      <left style="thick"/>
      <right>
        <color indexed="63"/>
      </right>
      <top style="medium"/>
      <bottom style="medium"/>
    </border>
    <border>
      <left>
        <color indexed="63"/>
      </left>
      <right>
        <color indexed="63"/>
      </right>
      <top style="medium"/>
      <bottom style="medium"/>
    </border>
    <border>
      <left style="thin"/>
      <right style="thin"/>
      <top style="medium"/>
      <bottom style="thin"/>
    </border>
    <border>
      <left style="thin"/>
      <right style="thin"/>
      <top style="thin"/>
      <bottom style="medium"/>
    </border>
    <border>
      <left style="thick"/>
      <right style="thin"/>
      <top style="medium"/>
      <bottom style="thin"/>
    </border>
    <border>
      <left style="thick"/>
      <right style="thin"/>
      <top style="thin"/>
      <bottom style="medium"/>
    </border>
    <border>
      <left style="thick"/>
      <right>
        <color indexed="63"/>
      </right>
      <top>
        <color indexed="63"/>
      </top>
      <bottom style="medium"/>
    </border>
    <border>
      <left style="medium"/>
      <right style="thin"/>
      <top>
        <color indexed="63"/>
      </top>
      <bottom style="thin"/>
    </border>
    <border>
      <left style="thin"/>
      <right style="thin"/>
      <top>
        <color indexed="63"/>
      </top>
      <bottom style="thin"/>
    </border>
    <border>
      <left style="medium"/>
      <right>
        <color indexed="63"/>
      </right>
      <top style="medium"/>
      <bottom style="medium"/>
    </border>
    <border>
      <left>
        <color indexed="63"/>
      </left>
      <right style="thick"/>
      <top style="thick"/>
      <bottom>
        <color indexed="63"/>
      </bottom>
    </border>
    <border>
      <left>
        <color indexed="63"/>
      </left>
      <right style="thick"/>
      <top>
        <color indexed="63"/>
      </top>
      <bottom>
        <color indexed="63"/>
      </bottom>
    </border>
    <border>
      <left>
        <color indexed="63"/>
      </left>
      <right style="thick"/>
      <top style="medium"/>
      <bottom style="medium"/>
    </border>
    <border>
      <left style="thin"/>
      <right style="thin"/>
      <top style="thin"/>
      <bottom style="double"/>
    </border>
    <border>
      <left style="thin"/>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medium"/>
      <bottom style="medium"/>
    </border>
    <border>
      <left style="thick"/>
      <right>
        <color indexed="63"/>
      </right>
      <top style="thick"/>
      <bottom style="thick"/>
    </border>
    <border>
      <left>
        <color indexed="63"/>
      </left>
      <right style="thick"/>
      <top style="thick"/>
      <bottom style="thick"/>
    </border>
    <border>
      <left style="thick"/>
      <right>
        <color indexed="63"/>
      </right>
      <top>
        <color indexed="63"/>
      </top>
      <bottom style="thick"/>
    </border>
    <border>
      <left>
        <color indexed="63"/>
      </left>
      <right style="thick"/>
      <top>
        <color indexed="63"/>
      </top>
      <bottom style="thick"/>
    </border>
  </borders>
  <cellStyleXfs count="63">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3" fillId="27" borderId="0" applyNumberFormat="0" applyBorder="0" applyAlignment="0" applyProtection="0"/>
    <xf numFmtId="0" fontId="44" fillId="28" borderId="1" applyNumberFormat="0" applyAlignment="0" applyProtection="0"/>
    <xf numFmtId="0" fontId="45"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1" borderId="1" applyNumberFormat="0" applyAlignment="0" applyProtection="0"/>
    <xf numFmtId="0" fontId="52" fillId="0" borderId="6" applyNumberFormat="0" applyFill="0" applyAlignment="0" applyProtection="0"/>
    <xf numFmtId="0" fontId="53" fillId="32" borderId="0" applyNumberFormat="0" applyBorder="0" applyAlignment="0" applyProtection="0"/>
    <xf numFmtId="0" fontId="0" fillId="33" borderId="7" applyNumberFormat="0" applyFont="0" applyAlignment="0" applyProtection="0"/>
    <xf numFmtId="0" fontId="54" fillId="28"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505">
    <xf numFmtId="0" fontId="0" fillId="2" borderId="0" xfId="0" applyAlignment="1">
      <alignment/>
    </xf>
    <xf numFmtId="0" fontId="4" fillId="34" borderId="0" xfId="0" applyFont="1" applyFill="1" applyBorder="1" applyAlignment="1">
      <alignment horizontal="center"/>
    </xf>
    <xf numFmtId="0" fontId="4" fillId="34" borderId="0" xfId="0" applyFont="1" applyFill="1" applyBorder="1" applyAlignment="1">
      <alignment horizontal="center" wrapText="1"/>
    </xf>
    <xf numFmtId="172" fontId="4" fillId="34" borderId="0" xfId="0" applyNumberFormat="1" applyFont="1" applyFill="1" applyBorder="1" applyAlignment="1">
      <alignment horizontal="center"/>
    </xf>
    <xf numFmtId="0" fontId="5" fillId="2" borderId="0" xfId="0" applyFont="1" applyAlignment="1">
      <alignment/>
    </xf>
    <xf numFmtId="0" fontId="0" fillId="2" borderId="0" xfId="0" applyAlignment="1">
      <alignment horizontal="left"/>
    </xf>
    <xf numFmtId="2" fontId="0" fillId="2" borderId="0" xfId="0" applyNumberFormat="1" applyAlignment="1">
      <alignment/>
    </xf>
    <xf numFmtId="43" fontId="0" fillId="0" borderId="0" xfId="42" applyNumberFormat="1" applyFont="1" applyAlignment="1">
      <alignment horizontal="left"/>
    </xf>
    <xf numFmtId="181" fontId="6" fillId="0" borderId="0" xfId="42" applyNumberFormat="1" applyFont="1" applyAlignment="1">
      <alignment horizontal="center"/>
    </xf>
    <xf numFmtId="164" fontId="6" fillId="0" borderId="0" xfId="42" applyNumberFormat="1" applyFont="1" applyAlignment="1">
      <alignment horizontal="left"/>
    </xf>
    <xf numFmtId="164" fontId="0" fillId="0" borderId="0" xfId="42" applyNumberFormat="1" applyFont="1" applyAlignment="1">
      <alignment horizontal="left"/>
    </xf>
    <xf numFmtId="2" fontId="6" fillId="0" borderId="0" xfId="0" applyNumberFormat="1" applyFont="1" applyFill="1" applyBorder="1" applyAlignment="1">
      <alignment/>
    </xf>
    <xf numFmtId="165" fontId="6" fillId="0" borderId="0" xfId="0" applyNumberFormat="1" applyFont="1" applyFill="1" applyBorder="1" applyAlignment="1">
      <alignment/>
    </xf>
    <xf numFmtId="0" fontId="6" fillId="2" borderId="0" xfId="0" applyFont="1" applyBorder="1" applyAlignment="1">
      <alignment/>
    </xf>
    <xf numFmtId="181" fontId="6" fillId="0" borderId="0" xfId="42" applyNumberFormat="1" applyFont="1" applyBorder="1" applyAlignment="1">
      <alignment horizontal="left"/>
    </xf>
    <xf numFmtId="43" fontId="6" fillId="0" borderId="0" xfId="42" applyNumberFormat="1" applyFont="1" applyBorder="1" applyAlignment="1">
      <alignment horizontal="left"/>
    </xf>
    <xf numFmtId="43" fontId="6" fillId="0" borderId="0" xfId="42" applyNumberFormat="1" applyFont="1" applyBorder="1" applyAlignment="1">
      <alignment/>
    </xf>
    <xf numFmtId="0" fontId="0" fillId="2" borderId="0" xfId="0" applyFont="1" applyAlignment="1">
      <alignment/>
    </xf>
    <xf numFmtId="0" fontId="5" fillId="2" borderId="0" xfId="0" applyFont="1" applyBorder="1" applyAlignment="1">
      <alignment/>
    </xf>
    <xf numFmtId="181" fontId="0" fillId="0" borderId="0" xfId="42" applyNumberFormat="1" applyFont="1" applyBorder="1" applyAlignment="1">
      <alignment horizontal="left"/>
    </xf>
    <xf numFmtId="0" fontId="6" fillId="2" borderId="10" xfId="0" applyFont="1" applyBorder="1" applyAlignment="1">
      <alignment/>
    </xf>
    <xf numFmtId="181" fontId="6" fillId="0" borderId="10" xfId="42" applyNumberFormat="1" applyFont="1" applyBorder="1" applyAlignment="1">
      <alignment horizontal="left"/>
    </xf>
    <xf numFmtId="43" fontId="6" fillId="0" borderId="10" xfId="42" applyNumberFormat="1" applyFont="1" applyBorder="1" applyAlignment="1">
      <alignment horizontal="left"/>
    </xf>
    <xf numFmtId="43" fontId="6" fillId="0" borderId="10" xfId="42" applyNumberFormat="1" applyFont="1" applyBorder="1" applyAlignment="1">
      <alignment/>
    </xf>
    <xf numFmtId="2" fontId="6" fillId="0" borderId="0" xfId="42" applyNumberFormat="1" applyFont="1" applyAlignment="1">
      <alignment horizontal="right"/>
    </xf>
    <xf numFmtId="0" fontId="11" fillId="35" borderId="11" xfId="0" applyFont="1" applyFill="1" applyBorder="1" applyAlignment="1">
      <alignment/>
    </xf>
    <xf numFmtId="181" fontId="11" fillId="0" borderId="12" xfId="42" applyNumberFormat="1" applyFont="1" applyBorder="1" applyAlignment="1">
      <alignment horizontal="left"/>
    </xf>
    <xf numFmtId="43" fontId="11" fillId="0" borderId="12" xfId="42" applyNumberFormat="1" applyFont="1" applyBorder="1" applyAlignment="1">
      <alignment horizontal="left"/>
    </xf>
    <xf numFmtId="183" fontId="11" fillId="0" borderId="12" xfId="42" applyNumberFormat="1" applyFont="1" applyBorder="1" applyAlignment="1">
      <alignment/>
    </xf>
    <xf numFmtId="183" fontId="11" fillId="0" borderId="12" xfId="42" applyNumberFormat="1" applyFont="1" applyBorder="1" applyAlignment="1">
      <alignment horizontal="left"/>
    </xf>
    <xf numFmtId="0" fontId="11" fillId="2" borderId="12" xfId="0" applyFont="1" applyBorder="1" applyAlignment="1" quotePrefix="1">
      <alignment horizontal="center"/>
    </xf>
    <xf numFmtId="0" fontId="8" fillId="0" borderId="0" xfId="0" applyFont="1" applyFill="1" applyBorder="1" applyAlignment="1">
      <alignment/>
    </xf>
    <xf numFmtId="0" fontId="8" fillId="2" borderId="0" xfId="0" applyFont="1" applyBorder="1" applyAlignment="1">
      <alignment/>
    </xf>
    <xf numFmtId="0" fontId="6" fillId="0" borderId="0" xfId="0" applyFont="1" applyFill="1" applyBorder="1" applyAlignment="1">
      <alignment/>
    </xf>
    <xf numFmtId="0" fontId="8" fillId="2" borderId="0" xfId="0" applyFont="1" applyBorder="1" applyAlignment="1">
      <alignment horizontal="right"/>
    </xf>
    <xf numFmtId="2" fontId="8" fillId="0" borderId="0" xfId="0" applyNumberFormat="1" applyFont="1" applyFill="1" applyBorder="1" applyAlignment="1">
      <alignment horizontal="right"/>
    </xf>
    <xf numFmtId="0" fontId="8" fillId="2" borderId="0" xfId="0" applyFont="1" applyBorder="1" applyAlignment="1">
      <alignment horizontal="left"/>
    </xf>
    <xf numFmtId="164" fontId="0" fillId="2" borderId="0" xfId="0" applyNumberFormat="1" applyAlignment="1">
      <alignment/>
    </xf>
    <xf numFmtId="0" fontId="0" fillId="2" borderId="13" xfId="0" applyBorder="1" applyAlignment="1">
      <alignment/>
    </xf>
    <xf numFmtId="181" fontId="11" fillId="0" borderId="0" xfId="42" applyNumberFormat="1" applyFont="1" applyBorder="1" applyAlignment="1">
      <alignment horizontal="left"/>
    </xf>
    <xf numFmtId="43" fontId="11" fillId="0" borderId="0" xfId="42" applyNumberFormat="1" applyFont="1" applyBorder="1" applyAlignment="1">
      <alignment horizontal="left"/>
    </xf>
    <xf numFmtId="183" fontId="11" fillId="0" borderId="0" xfId="42" applyNumberFormat="1" applyFont="1" applyBorder="1" applyAlignment="1">
      <alignment/>
    </xf>
    <xf numFmtId="191" fontId="0" fillId="2" borderId="0" xfId="0" applyNumberFormat="1" applyAlignment="1">
      <alignment horizontal="center"/>
    </xf>
    <xf numFmtId="0" fontId="11" fillId="35" borderId="14" xfId="0" applyFont="1" applyFill="1" applyBorder="1" applyAlignment="1">
      <alignment/>
    </xf>
    <xf numFmtId="0" fontId="11" fillId="2" borderId="0" xfId="0" applyFont="1" applyBorder="1" applyAlignment="1" quotePrefix="1">
      <alignment horizontal="center"/>
    </xf>
    <xf numFmtId="183" fontId="11" fillId="0" borderId="0" xfId="42" applyNumberFormat="1" applyFont="1" applyBorder="1" applyAlignment="1">
      <alignment horizontal="left"/>
    </xf>
    <xf numFmtId="0" fontId="0" fillId="2" borderId="0" xfId="0" applyBorder="1" applyAlignment="1">
      <alignment horizontal="center"/>
    </xf>
    <xf numFmtId="0" fontId="0" fillId="2" borderId="0" xfId="0" applyAlignment="1">
      <alignment/>
    </xf>
    <xf numFmtId="0" fontId="0" fillId="36" borderId="0" xfId="0" applyFill="1" applyAlignment="1" applyProtection="1">
      <alignment horizontal="center"/>
      <protection locked="0"/>
    </xf>
    <xf numFmtId="0" fontId="0" fillId="2" borderId="0" xfId="0" applyAlignment="1" applyProtection="1">
      <alignment horizontal="center"/>
      <protection/>
    </xf>
    <xf numFmtId="164" fontId="0" fillId="36" borderId="0" xfId="0" applyNumberFormat="1" applyFill="1" applyAlignment="1" applyProtection="1">
      <alignment horizontal="center"/>
      <protection locked="0"/>
    </xf>
    <xf numFmtId="10" fontId="0" fillId="36" borderId="0" xfId="0" applyNumberFormat="1" applyFill="1" applyAlignment="1" applyProtection="1">
      <alignment horizontal="center"/>
      <protection locked="0"/>
    </xf>
    <xf numFmtId="180" fontId="0" fillId="2" borderId="0" xfId="0" applyNumberFormat="1" applyAlignment="1" applyProtection="1">
      <alignment horizontal="right"/>
      <protection/>
    </xf>
    <xf numFmtId="180" fontId="0" fillId="2" borderId="0" xfId="0" applyNumberFormat="1" applyAlignment="1" applyProtection="1">
      <alignment horizontal="center"/>
      <protection/>
    </xf>
    <xf numFmtId="188" fontId="0" fillId="36" borderId="0" xfId="0" applyNumberFormat="1" applyFill="1" applyAlignment="1" applyProtection="1">
      <alignment horizontal="center"/>
      <protection locked="0"/>
    </xf>
    <xf numFmtId="0" fontId="12" fillId="2" borderId="15" xfId="0" applyFont="1" applyBorder="1" applyAlignment="1">
      <alignment/>
    </xf>
    <xf numFmtId="0" fontId="0" fillId="2" borderId="16" xfId="0" applyBorder="1" applyAlignment="1">
      <alignment/>
    </xf>
    <xf numFmtId="0" fontId="0" fillId="2" borderId="15" xfId="0" applyBorder="1" applyAlignment="1">
      <alignment/>
    </xf>
    <xf numFmtId="0" fontId="0" fillId="2" borderId="0" xfId="0" applyFont="1" applyBorder="1" applyAlignment="1">
      <alignment/>
    </xf>
    <xf numFmtId="0" fontId="12" fillId="2" borderId="0" xfId="0" applyFont="1" applyAlignment="1">
      <alignment horizontal="center"/>
    </xf>
    <xf numFmtId="0" fontId="12" fillId="2" borderId="15" xfId="0" applyFont="1" applyBorder="1" applyAlignment="1">
      <alignment horizontal="center"/>
    </xf>
    <xf numFmtId="0" fontId="8" fillId="2" borderId="0" xfId="0" applyFont="1" applyAlignment="1">
      <alignment/>
    </xf>
    <xf numFmtId="4" fontId="8" fillId="2" borderId="0" xfId="0" applyNumberFormat="1" applyFont="1" applyAlignment="1">
      <alignment/>
    </xf>
    <xf numFmtId="0" fontId="8" fillId="2" borderId="13" xfId="0" applyFont="1" applyBorder="1" applyAlignment="1">
      <alignment/>
    </xf>
    <xf numFmtId="0" fontId="8" fillId="2" borderId="16" xfId="0" applyFont="1" applyBorder="1" applyAlignment="1">
      <alignment/>
    </xf>
    <xf numFmtId="0" fontId="12" fillId="35" borderId="0" xfId="0" applyFont="1" applyFill="1" applyAlignment="1">
      <alignment/>
    </xf>
    <xf numFmtId="0" fontId="8" fillId="35" borderId="0" xfId="0" applyFont="1" applyFill="1" applyAlignment="1">
      <alignment/>
    </xf>
    <xf numFmtId="0" fontId="8" fillId="2" borderId="0" xfId="0" applyFont="1" applyAlignment="1">
      <alignment/>
    </xf>
    <xf numFmtId="0" fontId="0" fillId="2" borderId="17" xfId="0" applyBorder="1" applyAlignment="1">
      <alignment/>
    </xf>
    <xf numFmtId="3" fontId="0" fillId="2" borderId="0" xfId="0" applyNumberFormat="1" applyAlignment="1">
      <alignment/>
    </xf>
    <xf numFmtId="164" fontId="12" fillId="37" borderId="0" xfId="0" applyNumberFormat="1" applyFont="1" applyFill="1" applyAlignment="1">
      <alignment/>
    </xf>
    <xf numFmtId="0" fontId="0" fillId="2" borderId="0" xfId="0" applyBorder="1" applyAlignment="1">
      <alignment/>
    </xf>
    <xf numFmtId="180" fontId="0" fillId="2" borderId="0" xfId="0" applyNumberFormat="1" applyBorder="1" applyAlignment="1">
      <alignment horizontal="center"/>
    </xf>
    <xf numFmtId="165" fontId="0" fillId="2" borderId="0" xfId="0" applyNumberFormat="1" applyBorder="1" applyAlignment="1">
      <alignment horizontal="center"/>
    </xf>
    <xf numFmtId="0" fontId="8" fillId="2" borderId="17" xfId="0" applyFont="1" applyBorder="1" applyAlignment="1">
      <alignment/>
    </xf>
    <xf numFmtId="0" fontId="0" fillId="38" borderId="0" xfId="0" applyFill="1" applyAlignment="1">
      <alignment/>
    </xf>
    <xf numFmtId="2" fontId="0" fillId="38" borderId="0" xfId="0" applyNumberFormat="1" applyFill="1" applyAlignment="1">
      <alignment/>
    </xf>
    <xf numFmtId="0" fontId="12" fillId="2" borderId="15" xfId="0" applyFont="1" applyBorder="1" applyAlignment="1">
      <alignment/>
    </xf>
    <xf numFmtId="3" fontId="12" fillId="2" borderId="15" xfId="0" applyNumberFormat="1" applyFont="1" applyBorder="1" applyAlignment="1">
      <alignment horizontal="center"/>
    </xf>
    <xf numFmtId="191" fontId="0" fillId="2" borderId="0" xfId="0" applyNumberFormat="1" applyAlignment="1">
      <alignment/>
    </xf>
    <xf numFmtId="2" fontId="0" fillId="38" borderId="0" xfId="0" applyNumberFormat="1" applyFill="1" applyBorder="1" applyAlignment="1">
      <alignment/>
    </xf>
    <xf numFmtId="43" fontId="8" fillId="0" borderId="12" xfId="42" applyNumberFormat="1" applyFont="1" applyBorder="1" applyAlignment="1">
      <alignment horizontal="left"/>
    </xf>
    <xf numFmtId="0" fontId="15" fillId="35" borderId="18" xfId="0" applyFont="1" applyFill="1" applyBorder="1" applyAlignment="1">
      <alignment/>
    </xf>
    <xf numFmtId="0" fontId="8" fillId="35" borderId="18" xfId="0" applyFont="1" applyFill="1" applyBorder="1" applyAlignment="1">
      <alignment/>
    </xf>
    <xf numFmtId="196" fontId="8" fillId="2" borderId="13" xfId="0" applyNumberFormat="1" applyFont="1" applyBorder="1" applyAlignment="1">
      <alignment/>
    </xf>
    <xf numFmtId="0" fontId="12" fillId="34" borderId="19" xfId="0" applyFont="1" applyFill="1" applyBorder="1" applyAlignment="1">
      <alignment/>
    </xf>
    <xf numFmtId="0" fontId="12" fillId="34" borderId="20" xfId="0" applyFont="1" applyFill="1" applyBorder="1" applyAlignment="1">
      <alignment/>
    </xf>
    <xf numFmtId="181" fontId="12" fillId="34" borderId="20" xfId="42" applyNumberFormat="1" applyFont="1" applyFill="1" applyBorder="1" applyAlignment="1">
      <alignment horizontal="left"/>
    </xf>
    <xf numFmtId="43" fontId="12" fillId="34" borderId="20" xfId="42" applyNumberFormat="1" applyFont="1" applyFill="1" applyBorder="1" applyAlignment="1">
      <alignment horizontal="left"/>
    </xf>
    <xf numFmtId="43" fontId="8" fillId="0" borderId="21" xfId="42" applyNumberFormat="1" applyFont="1" applyBorder="1" applyAlignment="1">
      <alignment horizontal="left"/>
    </xf>
    <xf numFmtId="43" fontId="8" fillId="0" borderId="22" xfId="42" applyNumberFormat="1" applyFont="1" applyBorder="1" applyAlignment="1">
      <alignment horizontal="left"/>
    </xf>
    <xf numFmtId="0" fontId="5" fillId="39" borderId="23" xfId="0" applyNumberFormat="1" applyFont="1" applyFill="1" applyBorder="1" applyAlignment="1">
      <alignment horizontal="center" vertical="center" wrapText="1"/>
    </xf>
    <xf numFmtId="0" fontId="12" fillId="39" borderId="24" xfId="42" applyNumberFormat="1" applyFont="1" applyFill="1" applyBorder="1" applyAlignment="1">
      <alignment horizontal="center" vertical="center" wrapText="1"/>
    </xf>
    <xf numFmtId="0" fontId="4" fillId="39" borderId="25" xfId="42" applyNumberFormat="1" applyFont="1" applyFill="1" applyBorder="1" applyAlignment="1">
      <alignment horizontal="center" vertical="center" wrapText="1"/>
    </xf>
    <xf numFmtId="0" fontId="12" fillId="39" borderId="25" xfId="42" applyNumberFormat="1" applyFont="1" applyFill="1" applyBorder="1" applyAlignment="1">
      <alignment horizontal="center" vertical="center" wrapText="1"/>
    </xf>
    <xf numFmtId="0" fontId="12" fillId="39" borderId="23" xfId="0" applyNumberFormat="1" applyFont="1" applyFill="1" applyBorder="1" applyAlignment="1">
      <alignment horizontal="center" vertical="center" wrapText="1"/>
    </xf>
    <xf numFmtId="183" fontId="12" fillId="40" borderId="26" xfId="42" applyNumberFormat="1" applyFont="1" applyFill="1" applyBorder="1" applyAlignment="1">
      <alignment/>
    </xf>
    <xf numFmtId="43" fontId="8" fillId="0" borderId="27" xfId="42" applyNumberFormat="1" applyFont="1" applyBorder="1" applyAlignment="1">
      <alignment horizontal="left"/>
    </xf>
    <xf numFmtId="181" fontId="8" fillId="0" borderId="27" xfId="42" applyNumberFormat="1" applyFont="1" applyBorder="1" applyAlignment="1">
      <alignment horizontal="left"/>
    </xf>
    <xf numFmtId="0" fontId="15" fillId="2" borderId="28" xfId="0" applyFont="1" applyBorder="1" applyAlignment="1">
      <alignment horizontal="center"/>
    </xf>
    <xf numFmtId="43" fontId="8" fillId="0" borderId="28" xfId="42" applyNumberFormat="1" applyFont="1" applyBorder="1" applyAlignment="1">
      <alignment horizontal="left"/>
    </xf>
    <xf numFmtId="0" fontId="8" fillId="2" borderId="28" xfId="0" applyFont="1" applyBorder="1" applyAlignment="1">
      <alignment/>
    </xf>
    <xf numFmtId="0" fontId="8" fillId="2" borderId="28" xfId="0" applyFont="1" applyBorder="1" applyAlignment="1">
      <alignment horizontal="center"/>
    </xf>
    <xf numFmtId="43" fontId="8" fillId="0" borderId="29" xfId="42" applyNumberFormat="1" applyFont="1" applyBorder="1" applyAlignment="1">
      <alignment horizontal="left"/>
    </xf>
    <xf numFmtId="43" fontId="8" fillId="0" borderId="30" xfId="42" applyNumberFormat="1" applyFont="1" applyBorder="1" applyAlignment="1">
      <alignment horizontal="left"/>
    </xf>
    <xf numFmtId="43" fontId="8" fillId="0" borderId="27" xfId="42" applyNumberFormat="1" applyFont="1" applyBorder="1" applyAlignment="1">
      <alignment/>
    </xf>
    <xf numFmtId="183" fontId="8" fillId="0" borderId="27" xfId="42" applyNumberFormat="1" applyFont="1" applyBorder="1" applyAlignment="1">
      <alignment/>
    </xf>
    <xf numFmtId="43" fontId="8" fillId="0" borderId="28" xfId="42" applyNumberFormat="1" applyFont="1" applyBorder="1" applyAlignment="1">
      <alignment/>
    </xf>
    <xf numFmtId="183" fontId="8" fillId="0" borderId="28" xfId="42" applyNumberFormat="1" applyFont="1" applyBorder="1" applyAlignment="1">
      <alignment/>
    </xf>
    <xf numFmtId="0" fontId="8" fillId="35" borderId="31" xfId="0" applyFont="1" applyFill="1" applyBorder="1" applyAlignment="1">
      <alignment/>
    </xf>
    <xf numFmtId="0" fontId="8" fillId="2" borderId="27" xfId="0" applyFont="1" applyBorder="1" applyAlignment="1">
      <alignment horizontal="center"/>
    </xf>
    <xf numFmtId="183" fontId="8" fillId="0" borderId="27" xfId="42" applyNumberFormat="1" applyFont="1" applyBorder="1" applyAlignment="1">
      <alignment horizontal="left"/>
    </xf>
    <xf numFmtId="0" fontId="8" fillId="35" borderId="27" xfId="0" applyFont="1" applyFill="1" applyBorder="1" applyAlignment="1">
      <alignment/>
    </xf>
    <xf numFmtId="196" fontId="8" fillId="2" borderId="27" xfId="0" applyNumberFormat="1" applyFont="1" applyBorder="1" applyAlignment="1">
      <alignment/>
    </xf>
    <xf numFmtId="183" fontId="12" fillId="40" borderId="32" xfId="42" applyNumberFormat="1" applyFont="1" applyFill="1" applyBorder="1" applyAlignment="1">
      <alignment/>
    </xf>
    <xf numFmtId="183" fontId="8" fillId="0" borderId="28" xfId="42" applyNumberFormat="1" applyFont="1" applyBorder="1" applyAlignment="1">
      <alignment horizontal="left"/>
    </xf>
    <xf numFmtId="183" fontId="8" fillId="0" borderId="26" xfId="42" applyNumberFormat="1" applyFont="1" applyBorder="1" applyAlignment="1">
      <alignment/>
    </xf>
    <xf numFmtId="196" fontId="8" fillId="2" borderId="28" xfId="0" applyNumberFormat="1" applyFont="1" applyBorder="1" applyAlignment="1">
      <alignment/>
    </xf>
    <xf numFmtId="0" fontId="12" fillId="35" borderId="33" xfId="42" applyNumberFormat="1" applyFont="1" applyFill="1" applyBorder="1" applyAlignment="1">
      <alignment horizontal="center" vertical="center" wrapText="1"/>
    </xf>
    <xf numFmtId="0" fontId="12" fillId="35" borderId="33" xfId="0" applyFont="1" applyFill="1" applyBorder="1" applyAlignment="1">
      <alignment horizontal="center" vertical="center" wrapText="1"/>
    </xf>
    <xf numFmtId="0" fontId="12" fillId="39" borderId="34" xfId="42" applyNumberFormat="1" applyFont="1" applyFill="1" applyBorder="1" applyAlignment="1">
      <alignment horizontal="center" vertical="center" wrapText="1"/>
    </xf>
    <xf numFmtId="0" fontId="12" fillId="39" borderId="35" xfId="42" applyNumberFormat="1" applyFont="1" applyFill="1" applyBorder="1" applyAlignment="1">
      <alignment horizontal="center" vertical="center" wrapText="1"/>
    </xf>
    <xf numFmtId="0" fontId="1" fillId="39" borderId="34" xfId="0" applyNumberFormat="1" applyFont="1" applyFill="1" applyBorder="1" applyAlignment="1">
      <alignment vertical="center" wrapText="1"/>
    </xf>
    <xf numFmtId="0" fontId="4" fillId="39" borderId="34" xfId="42" applyNumberFormat="1" applyFont="1" applyFill="1" applyBorder="1" applyAlignment="1">
      <alignment horizontal="center" vertical="center" wrapText="1"/>
    </xf>
    <xf numFmtId="0" fontId="0" fillId="38" borderId="0" xfId="0" applyFill="1" applyAlignment="1">
      <alignment horizontal="center"/>
    </xf>
    <xf numFmtId="0" fontId="9" fillId="38" borderId="0" xfId="0" applyFont="1" applyFill="1" applyAlignment="1">
      <alignment/>
    </xf>
    <xf numFmtId="0" fontId="0" fillId="2" borderId="28" xfId="0" applyBorder="1" applyAlignment="1">
      <alignment/>
    </xf>
    <xf numFmtId="0" fontId="12" fillId="34" borderId="23" xfId="0" applyFont="1" applyFill="1" applyBorder="1" applyAlignment="1">
      <alignment horizontal="left"/>
    </xf>
    <xf numFmtId="43" fontId="12" fillId="34" borderId="24" xfId="42" applyNumberFormat="1" applyFont="1" applyFill="1" applyBorder="1" applyAlignment="1">
      <alignment horizontal="center"/>
    </xf>
    <xf numFmtId="181" fontId="12" fillId="34" borderId="24" xfId="42" applyNumberFormat="1" applyFont="1" applyFill="1" applyBorder="1" applyAlignment="1">
      <alignment horizontal="center"/>
    </xf>
    <xf numFmtId="164" fontId="12" fillId="34" borderId="24" xfId="42" applyNumberFormat="1" applyFont="1" applyFill="1" applyBorder="1" applyAlignment="1">
      <alignment horizontal="center"/>
    </xf>
    <xf numFmtId="0" fontId="12" fillId="34" borderId="14" xfId="0" applyFont="1" applyFill="1" applyBorder="1" applyAlignment="1">
      <alignment horizontal="left"/>
    </xf>
    <xf numFmtId="43" fontId="12" fillId="34" borderId="0" xfId="42" applyNumberFormat="1" applyFont="1" applyFill="1" applyBorder="1" applyAlignment="1">
      <alignment horizontal="center"/>
    </xf>
    <xf numFmtId="181" fontId="12" fillId="34" borderId="0" xfId="42" applyNumberFormat="1" applyFont="1" applyFill="1" applyBorder="1" applyAlignment="1">
      <alignment horizontal="center"/>
    </xf>
    <xf numFmtId="164" fontId="12" fillId="34" borderId="0" xfId="42" applyNumberFormat="1" applyFont="1" applyFill="1" applyBorder="1" applyAlignment="1">
      <alignment horizontal="center"/>
    </xf>
    <xf numFmtId="0" fontId="12" fillId="35" borderId="36" xfId="0" applyFont="1" applyFill="1" applyBorder="1" applyAlignment="1">
      <alignment horizontal="left"/>
    </xf>
    <xf numFmtId="43" fontId="12" fillId="35" borderId="37" xfId="42" applyNumberFormat="1" applyFont="1" applyFill="1" applyBorder="1" applyAlignment="1">
      <alignment horizontal="left"/>
    </xf>
    <xf numFmtId="181" fontId="12" fillId="35" borderId="37" xfId="42" applyNumberFormat="1" applyFont="1" applyFill="1" applyBorder="1" applyAlignment="1">
      <alignment horizontal="center"/>
    </xf>
    <xf numFmtId="164" fontId="12" fillId="35" borderId="37" xfId="42" applyNumberFormat="1" applyFont="1" applyFill="1" applyBorder="1" applyAlignment="1">
      <alignment horizontal="left"/>
    </xf>
    <xf numFmtId="0" fontId="16" fillId="34" borderId="36" xfId="0" applyFont="1" applyFill="1" applyBorder="1" applyAlignment="1">
      <alignment/>
    </xf>
    <xf numFmtId="43" fontId="8" fillId="34" borderId="37" xfId="42" applyNumberFormat="1" applyFont="1" applyFill="1" applyBorder="1" applyAlignment="1">
      <alignment horizontal="right"/>
    </xf>
    <xf numFmtId="181" fontId="8" fillId="34" borderId="37" xfId="42" applyNumberFormat="1" applyFont="1" applyFill="1" applyBorder="1" applyAlignment="1">
      <alignment horizontal="right"/>
    </xf>
    <xf numFmtId="164" fontId="8" fillId="34" borderId="37" xfId="42" applyNumberFormat="1" applyFont="1" applyFill="1" applyBorder="1" applyAlignment="1">
      <alignment horizontal="right"/>
    </xf>
    <xf numFmtId="0" fontId="8" fillId="2" borderId="14" xfId="0" applyFont="1" applyBorder="1" applyAlignment="1">
      <alignment horizontal="left" vertical="justify" wrapText="1"/>
    </xf>
    <xf numFmtId="181" fontId="8" fillId="0" borderId="0" xfId="42" applyNumberFormat="1" applyFont="1" applyBorder="1" applyAlignment="1">
      <alignment horizontal="center"/>
    </xf>
    <xf numFmtId="0" fontId="16" fillId="35" borderId="36" xfId="0" applyFont="1" applyFill="1" applyBorder="1" applyAlignment="1">
      <alignment/>
    </xf>
    <xf numFmtId="43" fontId="8" fillId="35" borderId="37" xfId="42" applyNumberFormat="1" applyFont="1" applyFill="1" applyBorder="1" applyAlignment="1">
      <alignment horizontal="right"/>
    </xf>
    <xf numFmtId="181" fontId="8" fillId="35" borderId="37" xfId="42" applyNumberFormat="1" applyFont="1" applyFill="1" applyBorder="1" applyAlignment="1">
      <alignment horizontal="center"/>
    </xf>
    <xf numFmtId="164" fontId="8" fillId="35" borderId="37" xfId="42" applyNumberFormat="1" applyFont="1" applyFill="1" applyBorder="1" applyAlignment="1">
      <alignment horizontal="right"/>
    </xf>
    <xf numFmtId="181" fontId="8" fillId="34" borderId="37" xfId="42" applyNumberFormat="1" applyFont="1" applyFill="1" applyBorder="1" applyAlignment="1">
      <alignment horizontal="center"/>
    </xf>
    <xf numFmtId="181" fontId="8" fillId="35" borderId="37" xfId="42" applyNumberFormat="1" applyFont="1" applyFill="1" applyBorder="1" applyAlignment="1">
      <alignment horizontal="right"/>
    </xf>
    <xf numFmtId="0" fontId="15" fillId="35" borderId="36" xfId="0" applyFont="1" applyFill="1" applyBorder="1" applyAlignment="1">
      <alignment/>
    </xf>
    <xf numFmtId="181" fontId="8" fillId="0" borderId="38" xfId="42" applyNumberFormat="1" applyFont="1" applyBorder="1" applyAlignment="1">
      <alignment horizontal="center"/>
    </xf>
    <xf numFmtId="164" fontId="8" fillId="0" borderId="38" xfId="42" applyNumberFormat="1" applyFont="1" applyBorder="1" applyAlignment="1">
      <alignment horizontal="right"/>
    </xf>
    <xf numFmtId="181" fontId="8" fillId="0" borderId="28" xfId="42" applyNumberFormat="1" applyFont="1" applyBorder="1" applyAlignment="1">
      <alignment horizontal="center"/>
    </xf>
    <xf numFmtId="164" fontId="8" fillId="0" borderId="28" xfId="42" applyNumberFormat="1" applyFont="1" applyBorder="1" applyAlignment="1">
      <alignment horizontal="right"/>
    </xf>
    <xf numFmtId="164" fontId="8" fillId="0" borderId="28" xfId="44" applyNumberFormat="1" applyFont="1" applyBorder="1" applyAlignment="1">
      <alignment horizontal="right"/>
    </xf>
    <xf numFmtId="181" fontId="8" fillId="0" borderId="39" xfId="42" applyNumberFormat="1" applyFont="1" applyBorder="1" applyAlignment="1">
      <alignment horizontal="center"/>
    </xf>
    <xf numFmtId="164" fontId="8" fillId="0" borderId="39" xfId="44" applyNumberFormat="1" applyFont="1" applyBorder="1" applyAlignment="1">
      <alignment horizontal="right"/>
    </xf>
    <xf numFmtId="0" fontId="15" fillId="2" borderId="40" xfId="0" applyFont="1" applyBorder="1" applyAlignment="1">
      <alignment/>
    </xf>
    <xf numFmtId="164" fontId="8" fillId="0" borderId="38" xfId="44" applyNumberFormat="1" applyFont="1" applyBorder="1" applyAlignment="1">
      <alignment horizontal="right"/>
    </xf>
    <xf numFmtId="0" fontId="15" fillId="2" borderId="18" xfId="0" applyFont="1" applyBorder="1" applyAlignment="1">
      <alignment/>
    </xf>
    <xf numFmtId="0" fontId="15" fillId="2" borderId="41" xfId="0" applyFont="1" applyBorder="1" applyAlignment="1">
      <alignment/>
    </xf>
    <xf numFmtId="0" fontId="8" fillId="0" borderId="40" xfId="0" applyFont="1" applyFill="1" applyBorder="1" applyAlignment="1">
      <alignment/>
    </xf>
    <xf numFmtId="0" fontId="8" fillId="0" borderId="38" xfId="0" applyFont="1" applyFill="1" applyBorder="1" applyAlignment="1">
      <alignment horizontal="center"/>
    </xf>
    <xf numFmtId="0" fontId="8" fillId="0" borderId="18" xfId="0" applyFont="1" applyFill="1" applyBorder="1" applyAlignment="1">
      <alignment horizontal="left"/>
    </xf>
    <xf numFmtId="0" fontId="8" fillId="0" borderId="28" xfId="0" applyFont="1" applyFill="1" applyBorder="1" applyAlignment="1">
      <alignment horizontal="center"/>
    </xf>
    <xf numFmtId="0" fontId="8" fillId="0" borderId="41" xfId="0" applyFont="1" applyFill="1" applyBorder="1" applyAlignment="1">
      <alignment/>
    </xf>
    <xf numFmtId="0" fontId="8" fillId="0" borderId="39" xfId="0" applyFont="1" applyFill="1" applyBorder="1" applyAlignment="1">
      <alignment horizontal="center"/>
    </xf>
    <xf numFmtId="164" fontId="8" fillId="0" borderId="39" xfId="0" applyNumberFormat="1" applyFont="1" applyFill="1" applyBorder="1" applyAlignment="1">
      <alignment horizontal="right"/>
    </xf>
    <xf numFmtId="0" fontId="8" fillId="0" borderId="40" xfId="0" applyFont="1" applyFill="1" applyBorder="1" applyAlignment="1">
      <alignment horizontal="left"/>
    </xf>
    <xf numFmtId="0" fontId="8" fillId="0" borderId="18" xfId="0" applyFont="1" applyFill="1" applyBorder="1" applyAlignment="1">
      <alignment/>
    </xf>
    <xf numFmtId="164" fontId="8" fillId="0" borderId="28" xfId="0" applyNumberFormat="1" applyFont="1" applyFill="1" applyBorder="1" applyAlignment="1">
      <alignment horizontal="right"/>
    </xf>
    <xf numFmtId="0" fontId="15" fillId="2" borderId="18" xfId="0" applyFont="1" applyBorder="1" applyAlignment="1">
      <alignment horizontal="left"/>
    </xf>
    <xf numFmtId="172" fontId="6" fillId="38" borderId="0" xfId="0" applyNumberFormat="1" applyFont="1" applyFill="1" applyBorder="1" applyAlignment="1">
      <alignment/>
    </xf>
    <xf numFmtId="0" fontId="6" fillId="38" borderId="0" xfId="0" applyFont="1" applyFill="1" applyBorder="1" applyAlignment="1">
      <alignment horizontal="center"/>
    </xf>
    <xf numFmtId="2" fontId="6" fillId="38" borderId="0" xfId="0" applyNumberFormat="1" applyFont="1" applyFill="1" applyBorder="1" applyAlignment="1">
      <alignment/>
    </xf>
    <xf numFmtId="166" fontId="6" fillId="38" borderId="0" xfId="0" applyNumberFormat="1" applyFont="1" applyFill="1" applyBorder="1" applyAlignment="1">
      <alignment/>
    </xf>
    <xf numFmtId="164" fontId="6" fillId="38" borderId="0" xfId="0" applyNumberFormat="1" applyFont="1" applyFill="1" applyBorder="1" applyAlignment="1">
      <alignment/>
    </xf>
    <xf numFmtId="174" fontId="6" fillId="38" borderId="0" xfId="0" applyNumberFormat="1" applyFont="1" applyFill="1" applyBorder="1" applyAlignment="1">
      <alignment horizontal="right"/>
    </xf>
    <xf numFmtId="0" fontId="8" fillId="2" borderId="38" xfId="0" applyFont="1" applyBorder="1" applyAlignment="1">
      <alignment horizontal="center" vertical="center"/>
    </xf>
    <xf numFmtId="0" fontId="8" fillId="2" borderId="28" xfId="0" applyFont="1" applyBorder="1" applyAlignment="1">
      <alignment horizontal="center" vertical="center"/>
    </xf>
    <xf numFmtId="0" fontId="8" fillId="2" borderId="39" xfId="0" applyFont="1" applyBorder="1" applyAlignment="1">
      <alignment horizontal="center" vertical="center"/>
    </xf>
    <xf numFmtId="0" fontId="5" fillId="34" borderId="42" xfId="0" applyFont="1" applyFill="1" applyBorder="1" applyAlignment="1">
      <alignment/>
    </xf>
    <xf numFmtId="0" fontId="15" fillId="2" borderId="43" xfId="0" applyFont="1" applyBorder="1" applyAlignment="1">
      <alignment horizontal="left"/>
    </xf>
    <xf numFmtId="0" fontId="8" fillId="2" borderId="44" xfId="0" applyFont="1" applyBorder="1" applyAlignment="1">
      <alignment/>
    </xf>
    <xf numFmtId="0" fontId="8" fillId="2" borderId="44" xfId="0" applyFont="1" applyBorder="1" applyAlignment="1">
      <alignment horizontal="center" vertical="center"/>
    </xf>
    <xf numFmtId="0" fontId="12" fillId="41" borderId="45" xfId="0" applyFont="1" applyFill="1" applyBorder="1" applyAlignment="1">
      <alignment/>
    </xf>
    <xf numFmtId="0" fontId="8" fillId="41" borderId="37" xfId="0" applyFont="1" applyFill="1" applyBorder="1" applyAlignment="1">
      <alignment/>
    </xf>
    <xf numFmtId="0" fontId="0" fillId="37" borderId="37" xfId="0" applyFill="1" applyBorder="1" applyAlignment="1">
      <alignment/>
    </xf>
    <xf numFmtId="2" fontId="0" fillId="37" borderId="37" xfId="0" applyNumberFormat="1" applyFill="1" applyBorder="1" applyAlignment="1">
      <alignment/>
    </xf>
    <xf numFmtId="0" fontId="0" fillId="39" borderId="37" xfId="0" applyFill="1" applyBorder="1" applyAlignment="1">
      <alignment/>
    </xf>
    <xf numFmtId="0" fontId="0" fillId="42" borderId="37" xfId="0" applyFill="1" applyBorder="1" applyAlignment="1">
      <alignment/>
    </xf>
    <xf numFmtId="2" fontId="0" fillId="42" borderId="37" xfId="0" applyNumberFormat="1" applyFill="1" applyBorder="1" applyAlignment="1">
      <alignment/>
    </xf>
    <xf numFmtId="2" fontId="8" fillId="0" borderId="38" xfId="0" applyNumberFormat="1" applyFont="1" applyFill="1" applyBorder="1" applyAlignment="1">
      <alignment/>
    </xf>
    <xf numFmtId="0" fontId="0" fillId="2" borderId="38" xfId="0" applyBorder="1" applyAlignment="1">
      <alignment/>
    </xf>
    <xf numFmtId="2" fontId="8" fillId="0" borderId="28" xfId="0" applyNumberFormat="1" applyFont="1" applyFill="1" applyBorder="1" applyAlignment="1">
      <alignment/>
    </xf>
    <xf numFmtId="0" fontId="6" fillId="0" borderId="39" xfId="0" applyFont="1" applyFill="1" applyBorder="1" applyAlignment="1">
      <alignment/>
    </xf>
    <xf numFmtId="0" fontId="0" fillId="2" borderId="39" xfId="0" applyBorder="1" applyAlignment="1">
      <alignment/>
    </xf>
    <xf numFmtId="0" fontId="8" fillId="38" borderId="0" xfId="0" applyFont="1" applyFill="1" applyBorder="1" applyAlignment="1">
      <alignment/>
    </xf>
    <xf numFmtId="0" fontId="0" fillId="38" borderId="0" xfId="0" applyFill="1" applyBorder="1" applyAlignment="1">
      <alignment/>
    </xf>
    <xf numFmtId="0" fontId="4" fillId="2" borderId="10" xfId="0" applyFont="1" applyBorder="1" applyAlignment="1">
      <alignment/>
    </xf>
    <xf numFmtId="191" fontId="0" fillId="38" borderId="0" xfId="0" applyNumberFormat="1" applyFill="1" applyAlignment="1">
      <alignment/>
    </xf>
    <xf numFmtId="191" fontId="0" fillId="38" borderId="0" xfId="0" applyNumberFormat="1" applyFill="1" applyAlignment="1">
      <alignment horizontal="center"/>
    </xf>
    <xf numFmtId="2" fontId="4" fillId="34" borderId="46" xfId="0" applyNumberFormat="1" applyFont="1" applyFill="1" applyBorder="1" applyAlignment="1">
      <alignment horizontal="center"/>
    </xf>
    <xf numFmtId="2" fontId="4" fillId="34" borderId="47" xfId="0" applyNumberFormat="1" applyFont="1" applyFill="1" applyBorder="1" applyAlignment="1">
      <alignment horizontal="center"/>
    </xf>
    <xf numFmtId="2" fontId="4" fillId="35" borderId="48" xfId="0" applyNumberFormat="1" applyFont="1" applyFill="1" applyBorder="1" applyAlignment="1">
      <alignment horizontal="center"/>
    </xf>
    <xf numFmtId="2" fontId="6" fillId="34" borderId="48" xfId="0" applyNumberFormat="1" applyFont="1" applyFill="1" applyBorder="1" applyAlignment="1">
      <alignment horizontal="center"/>
    </xf>
    <xf numFmtId="2" fontId="0" fillId="2" borderId="47" xfId="0" applyNumberFormat="1" applyBorder="1" applyAlignment="1">
      <alignment/>
    </xf>
    <xf numFmtId="2" fontId="0" fillId="37" borderId="48" xfId="0" applyNumberFormat="1" applyFill="1" applyBorder="1" applyAlignment="1">
      <alignment/>
    </xf>
    <xf numFmtId="2" fontId="0" fillId="42" borderId="48" xfId="0" applyNumberFormat="1" applyFill="1" applyBorder="1" applyAlignment="1">
      <alignment/>
    </xf>
    <xf numFmtId="2" fontId="0" fillId="39" borderId="48" xfId="0" applyNumberFormat="1" applyFill="1" applyBorder="1" applyAlignment="1">
      <alignment/>
    </xf>
    <xf numFmtId="0" fontId="18" fillId="2" borderId="0" xfId="0" applyFont="1" applyAlignment="1">
      <alignment horizontal="center"/>
    </xf>
    <xf numFmtId="0" fontId="0" fillId="2" borderId="0" xfId="0" applyFont="1" applyAlignment="1">
      <alignment horizontal="left"/>
    </xf>
    <xf numFmtId="0" fontId="0" fillId="2" borderId="0" xfId="0" applyFont="1" applyAlignment="1">
      <alignment horizontal="center" vertical="top" wrapText="1"/>
    </xf>
    <xf numFmtId="0" fontId="19" fillId="2" borderId="0" xfId="0" applyFont="1" applyAlignment="1">
      <alignment horizontal="center"/>
    </xf>
    <xf numFmtId="165" fontId="0" fillId="38" borderId="0" xfId="0" applyNumberFormat="1" applyFill="1" applyAlignment="1">
      <alignment/>
    </xf>
    <xf numFmtId="0" fontId="9" fillId="38" borderId="0" xfId="0" applyFont="1" applyFill="1" applyBorder="1" applyAlignment="1">
      <alignment/>
    </xf>
    <xf numFmtId="0" fontId="20" fillId="2" borderId="0" xfId="0" applyFont="1" applyAlignment="1">
      <alignment horizontal="left"/>
    </xf>
    <xf numFmtId="0" fontId="5" fillId="2" borderId="0" xfId="0" applyFont="1" applyAlignment="1">
      <alignment horizontal="left"/>
    </xf>
    <xf numFmtId="10" fontId="0" fillId="38" borderId="0" xfId="0" applyNumberFormat="1" applyFill="1" applyBorder="1" applyAlignment="1">
      <alignment horizontal="center"/>
    </xf>
    <xf numFmtId="0" fontId="10" fillId="38" borderId="49" xfId="0" applyFont="1" applyFill="1" applyBorder="1" applyAlignment="1">
      <alignment horizontal="center" vertical="center" wrapText="1"/>
    </xf>
    <xf numFmtId="0" fontId="10" fillId="2" borderId="49" xfId="0" applyFont="1" applyBorder="1" applyAlignment="1">
      <alignment horizontal="center" vertical="center" wrapText="1"/>
    </xf>
    <xf numFmtId="0" fontId="0" fillId="38" borderId="27" xfId="0" applyFill="1" applyBorder="1" applyAlignment="1">
      <alignment horizontal="left" vertical="center"/>
    </xf>
    <xf numFmtId="0" fontId="0" fillId="43" borderId="50" xfId="0" applyFill="1" applyBorder="1" applyAlignment="1">
      <alignment vertical="center"/>
    </xf>
    <xf numFmtId="164" fontId="0" fillId="2" borderId="44" xfId="0" applyNumberFormat="1" applyFont="1" applyBorder="1" applyAlignment="1">
      <alignment horizontal="center" vertical="center"/>
    </xf>
    <xf numFmtId="164" fontId="0" fillId="2" borderId="44" xfId="0" applyNumberFormat="1" applyBorder="1" applyAlignment="1">
      <alignment horizontal="center" vertical="center"/>
    </xf>
    <xf numFmtId="0" fontId="0" fillId="38" borderId="28" xfId="0" applyFill="1" applyBorder="1" applyAlignment="1">
      <alignment horizontal="left" vertical="center" wrapText="1"/>
    </xf>
    <xf numFmtId="0" fontId="0" fillId="43" borderId="12" xfId="0" applyFill="1" applyBorder="1" applyAlignment="1">
      <alignment vertical="center"/>
    </xf>
    <xf numFmtId="164" fontId="0" fillId="2" borderId="28" xfId="0" applyNumberFormat="1" applyFont="1" applyBorder="1" applyAlignment="1">
      <alignment horizontal="center" vertical="center"/>
    </xf>
    <xf numFmtId="164" fontId="0" fillId="2" borderId="28" xfId="0" applyNumberFormat="1" applyBorder="1" applyAlignment="1">
      <alignment horizontal="center" vertical="center"/>
    </xf>
    <xf numFmtId="0" fontId="9" fillId="43" borderId="12" xfId="0" applyFont="1" applyFill="1" applyBorder="1" applyAlignment="1">
      <alignment vertical="center"/>
    </xf>
    <xf numFmtId="0" fontId="0" fillId="38" borderId="28" xfId="0" applyFont="1" applyFill="1" applyBorder="1" applyAlignment="1">
      <alignment horizontal="left" vertical="center" wrapText="1"/>
    </xf>
    <xf numFmtId="166" fontId="6" fillId="0" borderId="0" xfId="0" applyNumberFormat="1" applyFont="1" applyFill="1" applyBorder="1" applyAlignment="1">
      <alignment/>
    </xf>
    <xf numFmtId="2" fontId="6" fillId="2" borderId="0" xfId="0" applyNumberFormat="1" applyFont="1" applyBorder="1" applyAlignment="1">
      <alignment/>
    </xf>
    <xf numFmtId="166" fontId="6" fillId="2" borderId="0" xfId="0" applyNumberFormat="1" applyFont="1" applyBorder="1" applyAlignment="1">
      <alignment/>
    </xf>
    <xf numFmtId="172" fontId="6" fillId="0" borderId="0" xfId="0" applyNumberFormat="1" applyFont="1" applyFill="1" applyBorder="1" applyAlignment="1">
      <alignment/>
    </xf>
    <xf numFmtId="172" fontId="6" fillId="2" borderId="0" xfId="0" applyNumberFormat="1" applyFont="1" applyBorder="1" applyAlignment="1">
      <alignment/>
    </xf>
    <xf numFmtId="0" fontId="6" fillId="2" borderId="0" xfId="0" applyFont="1" applyBorder="1" applyAlignment="1">
      <alignment horizontal="center"/>
    </xf>
    <xf numFmtId="2" fontId="22" fillId="0" borderId="0" xfId="0" applyNumberFormat="1" applyFont="1" applyFill="1" applyBorder="1" applyAlignment="1">
      <alignment/>
    </xf>
    <xf numFmtId="164" fontId="6" fillId="2" borderId="0" xfId="0" applyNumberFormat="1" applyFont="1" applyBorder="1" applyAlignment="1">
      <alignment/>
    </xf>
    <xf numFmtId="164" fontId="4" fillId="2" borderId="0" xfId="0" applyNumberFormat="1" applyFont="1" applyBorder="1" applyAlignment="1">
      <alignment/>
    </xf>
    <xf numFmtId="49" fontId="6" fillId="0" borderId="0" xfId="0" applyNumberFormat="1" applyFont="1" applyFill="1" applyBorder="1" applyAlignment="1">
      <alignment/>
    </xf>
    <xf numFmtId="49" fontId="8" fillId="2" borderId="44" xfId="0" applyNumberFormat="1" applyFont="1" applyBorder="1" applyAlignment="1">
      <alignment/>
    </xf>
    <xf numFmtId="0" fontId="6" fillId="2" borderId="0" xfId="0" applyFont="1" applyBorder="1" applyAlignment="1">
      <alignment horizontal="left"/>
    </xf>
    <xf numFmtId="0" fontId="6" fillId="2" borderId="0" xfId="0" applyFont="1" applyBorder="1" applyAlignment="1">
      <alignment horizontal="right"/>
    </xf>
    <xf numFmtId="2" fontId="6" fillId="2" borderId="0" xfId="0" applyNumberFormat="1" applyFont="1" applyBorder="1" applyAlignment="1">
      <alignment horizontal="left"/>
    </xf>
    <xf numFmtId="172" fontId="6" fillId="38" borderId="0" xfId="0" applyNumberFormat="1" applyFont="1" applyFill="1" applyBorder="1" applyAlignment="1">
      <alignment horizontal="right"/>
    </xf>
    <xf numFmtId="2" fontId="6" fillId="38" borderId="0" xfId="0" applyNumberFormat="1" applyFont="1" applyFill="1" applyBorder="1" applyAlignment="1">
      <alignment horizontal="right"/>
    </xf>
    <xf numFmtId="2" fontId="8" fillId="0" borderId="0" xfId="42" applyNumberFormat="1" applyFont="1" applyBorder="1" applyAlignment="1">
      <alignment horizontal="right"/>
    </xf>
    <xf numFmtId="2" fontId="8" fillId="35" borderId="37" xfId="42" applyNumberFormat="1" applyFont="1" applyFill="1" applyBorder="1" applyAlignment="1">
      <alignment horizontal="right"/>
    </xf>
    <xf numFmtId="2" fontId="8" fillId="34" borderId="37" xfId="42" applyNumberFormat="1" applyFont="1" applyFill="1" applyBorder="1" applyAlignment="1">
      <alignment horizontal="right"/>
    </xf>
    <xf numFmtId="2" fontId="8" fillId="0" borderId="0" xfId="44" applyNumberFormat="1" applyFont="1" applyBorder="1" applyAlignment="1">
      <alignment horizontal="right"/>
    </xf>
    <xf numFmtId="2" fontId="8" fillId="2" borderId="0" xfId="0" applyNumberFormat="1" applyFont="1" applyAlignment="1">
      <alignment/>
    </xf>
    <xf numFmtId="2" fontId="8" fillId="41" borderId="37" xfId="0" applyNumberFormat="1" applyFont="1" applyFill="1" applyBorder="1" applyAlignment="1">
      <alignment/>
    </xf>
    <xf numFmtId="44" fontId="6" fillId="2" borderId="47" xfId="44" applyFont="1" applyFill="1" applyBorder="1" applyAlignment="1">
      <alignment horizontal="right" vertical="center"/>
    </xf>
    <xf numFmtId="164" fontId="6" fillId="2" borderId="47" xfId="44" applyNumberFormat="1" applyFont="1" applyFill="1" applyBorder="1" applyAlignment="1">
      <alignment horizontal="right" vertical="center"/>
    </xf>
    <xf numFmtId="44" fontId="6" fillId="35" borderId="48" xfId="44" applyFont="1" applyFill="1" applyBorder="1" applyAlignment="1">
      <alignment horizontal="right" vertical="center"/>
    </xf>
    <xf numFmtId="44" fontId="6" fillId="34" borderId="48" xfId="44" applyFont="1" applyFill="1" applyBorder="1" applyAlignment="1">
      <alignment horizontal="right" vertical="center"/>
    </xf>
    <xf numFmtId="44" fontId="0" fillId="2" borderId="47" xfId="44" applyFont="1" applyFill="1" applyBorder="1" applyAlignment="1">
      <alignment horizontal="right" vertical="center"/>
    </xf>
    <xf numFmtId="2" fontId="0" fillId="2" borderId="47" xfId="0" applyNumberFormat="1" applyBorder="1" applyAlignment="1">
      <alignment horizontal="right" vertical="center"/>
    </xf>
    <xf numFmtId="2" fontId="0" fillId="41" borderId="48" xfId="0" applyNumberFormat="1" applyFill="1" applyBorder="1" applyAlignment="1">
      <alignment horizontal="right" vertical="center"/>
    </xf>
    <xf numFmtId="164" fontId="6" fillId="35" borderId="48" xfId="44" applyNumberFormat="1" applyFont="1" applyFill="1" applyBorder="1" applyAlignment="1">
      <alignment horizontal="right" vertical="center"/>
    </xf>
    <xf numFmtId="49" fontId="8" fillId="0" borderId="0" xfId="0" applyNumberFormat="1" applyFont="1" applyFill="1" applyBorder="1" applyAlignment="1">
      <alignment/>
    </xf>
    <xf numFmtId="0" fontId="0" fillId="43" borderId="28" xfId="0" applyFill="1" applyBorder="1" applyAlignment="1">
      <alignment vertical="center"/>
    </xf>
    <xf numFmtId="164" fontId="0" fillId="38" borderId="27" xfId="0" applyNumberFormat="1" applyFill="1" applyBorder="1" applyAlignment="1">
      <alignment horizontal="center" vertical="center"/>
    </xf>
    <xf numFmtId="0" fontId="0" fillId="38" borderId="0" xfId="0" applyFont="1" applyFill="1" applyAlignment="1">
      <alignment/>
    </xf>
    <xf numFmtId="180" fontId="0" fillId="38" borderId="0" xfId="0" applyNumberFormat="1" applyFill="1" applyBorder="1" applyAlignment="1">
      <alignment horizontal="center"/>
    </xf>
    <xf numFmtId="0" fontId="0" fillId="38" borderId="0" xfId="0" applyFont="1" applyFill="1" applyBorder="1" applyAlignment="1">
      <alignment/>
    </xf>
    <xf numFmtId="3" fontId="0" fillId="38" borderId="0" xfId="0" applyNumberFormat="1" applyFill="1" applyBorder="1" applyAlignment="1">
      <alignment/>
    </xf>
    <xf numFmtId="0" fontId="0" fillId="38" borderId="0" xfId="0" applyFont="1" applyFill="1" applyBorder="1" applyAlignment="1">
      <alignment horizontal="center"/>
    </xf>
    <xf numFmtId="0" fontId="0" fillId="38" borderId="0" xfId="0" applyFont="1" applyFill="1" applyBorder="1" applyAlignment="1">
      <alignment horizontal="right"/>
    </xf>
    <xf numFmtId="0" fontId="0" fillId="38" borderId="0" xfId="0" applyFill="1" applyBorder="1" applyAlignment="1">
      <alignment horizontal="center"/>
    </xf>
    <xf numFmtId="192" fontId="0" fillId="38" borderId="0" xfId="0" applyNumberFormat="1" applyFill="1" applyBorder="1" applyAlignment="1">
      <alignment/>
    </xf>
    <xf numFmtId="164" fontId="0" fillId="38" borderId="0" xfId="0" applyNumberFormat="1" applyFill="1" applyBorder="1" applyAlignment="1">
      <alignment/>
    </xf>
    <xf numFmtId="164" fontId="0" fillId="38" borderId="0" xfId="0" applyNumberFormat="1" applyFont="1" applyFill="1" applyBorder="1" applyAlignment="1">
      <alignment/>
    </xf>
    <xf numFmtId="164" fontId="6" fillId="38" borderId="0" xfId="0" applyNumberFormat="1" applyFont="1" applyFill="1" applyBorder="1" applyAlignment="1">
      <alignment/>
    </xf>
    <xf numFmtId="0" fontId="6" fillId="35" borderId="0" xfId="0" applyFont="1" applyFill="1" applyBorder="1" applyAlignment="1">
      <alignment/>
    </xf>
    <xf numFmtId="164" fontId="6" fillId="38" borderId="0" xfId="0" applyNumberFormat="1" applyFont="1" applyFill="1" applyBorder="1" applyAlignment="1">
      <alignment horizontal="right"/>
    </xf>
    <xf numFmtId="0" fontId="6" fillId="38" borderId="0" xfId="0" applyFont="1" applyFill="1" applyBorder="1" applyAlignment="1">
      <alignment horizontal="right"/>
    </xf>
    <xf numFmtId="0" fontId="4" fillId="34" borderId="0" xfId="0" applyFont="1" applyFill="1" applyBorder="1" applyAlignment="1">
      <alignment horizontal="center" vertical="justify" wrapText="1"/>
    </xf>
    <xf numFmtId="0" fontId="4" fillId="0" borderId="0" xfId="0" applyFont="1" applyFill="1" applyBorder="1" applyAlignment="1">
      <alignment/>
    </xf>
    <xf numFmtId="0" fontId="4" fillId="35" borderId="0" xfId="0" applyFont="1" applyFill="1" applyBorder="1" applyAlignment="1">
      <alignment/>
    </xf>
    <xf numFmtId="0" fontId="4" fillId="35" borderId="0" xfId="0" applyFont="1" applyFill="1" applyBorder="1" applyAlignment="1">
      <alignment horizontal="left"/>
    </xf>
    <xf numFmtId="0" fontId="4" fillId="35" borderId="0" xfId="0" applyFont="1" applyFill="1" applyBorder="1" applyAlignment="1">
      <alignment horizontal="center"/>
    </xf>
    <xf numFmtId="0" fontId="7" fillId="35" borderId="0" xfId="0" applyFont="1" applyFill="1" applyBorder="1" applyAlignment="1">
      <alignment horizontal="left"/>
    </xf>
    <xf numFmtId="172" fontId="7" fillId="35" borderId="0" xfId="0" applyNumberFormat="1" applyFont="1" applyFill="1" applyBorder="1" applyAlignment="1">
      <alignment horizontal="left"/>
    </xf>
    <xf numFmtId="0" fontId="4" fillId="34" borderId="0" xfId="0" applyFont="1" applyFill="1" applyBorder="1" applyAlignment="1">
      <alignment/>
    </xf>
    <xf numFmtId="0" fontId="6" fillId="34" borderId="0" xfId="0" applyFont="1" applyFill="1" applyBorder="1" applyAlignment="1">
      <alignment/>
    </xf>
    <xf numFmtId="172" fontId="6" fillId="34" borderId="0" xfId="0" applyNumberFormat="1" applyFont="1" applyFill="1" applyBorder="1" applyAlignment="1">
      <alignment/>
    </xf>
    <xf numFmtId="0" fontId="6" fillId="34" borderId="0" xfId="0" applyFont="1" applyFill="1" applyBorder="1" applyAlignment="1">
      <alignment horizontal="center"/>
    </xf>
    <xf numFmtId="2" fontId="6" fillId="34" borderId="0" xfId="0" applyNumberFormat="1" applyFont="1" applyFill="1" applyBorder="1" applyAlignment="1">
      <alignment/>
    </xf>
    <xf numFmtId="164" fontId="6" fillId="34" borderId="0" xfId="0" applyNumberFormat="1" applyFont="1" applyFill="1" applyBorder="1" applyAlignment="1">
      <alignment/>
    </xf>
    <xf numFmtId="6" fontId="6" fillId="38" borderId="0" xfId="0" applyNumberFormat="1" applyFont="1" applyFill="1" applyBorder="1" applyAlignment="1">
      <alignment horizontal="right"/>
    </xf>
    <xf numFmtId="2" fontId="6" fillId="35" borderId="0" xfId="0" applyNumberFormat="1" applyFont="1" applyFill="1" applyBorder="1" applyAlignment="1">
      <alignment/>
    </xf>
    <xf numFmtId="166" fontId="4" fillId="37" borderId="0" xfId="0" applyNumberFormat="1" applyFont="1" applyFill="1" applyBorder="1" applyAlignment="1">
      <alignment/>
    </xf>
    <xf numFmtId="172" fontId="4" fillId="37" borderId="0" xfId="0" applyNumberFormat="1" applyFont="1" applyFill="1" applyBorder="1" applyAlignment="1">
      <alignment/>
    </xf>
    <xf numFmtId="164" fontId="4" fillId="37" borderId="0" xfId="0" applyNumberFormat="1" applyFont="1" applyFill="1" applyBorder="1" applyAlignment="1">
      <alignment/>
    </xf>
    <xf numFmtId="173" fontId="4" fillId="37" borderId="0" xfId="0" applyNumberFormat="1" applyFont="1" applyFill="1" applyBorder="1" applyAlignment="1">
      <alignment/>
    </xf>
    <xf numFmtId="165" fontId="4" fillId="37" borderId="0" xfId="0" applyNumberFormat="1" applyFont="1" applyFill="1" applyBorder="1" applyAlignment="1">
      <alignment/>
    </xf>
    <xf numFmtId="2" fontId="4" fillId="42" borderId="0" xfId="0" applyNumberFormat="1" applyFont="1" applyFill="1" applyBorder="1" applyAlignment="1">
      <alignment/>
    </xf>
    <xf numFmtId="166" fontId="4" fillId="42" borderId="0" xfId="0" applyNumberFormat="1" applyFont="1" applyFill="1" applyBorder="1" applyAlignment="1">
      <alignment/>
    </xf>
    <xf numFmtId="172" fontId="4" fillId="42" borderId="0" xfId="0" applyNumberFormat="1" applyFont="1" applyFill="1" applyBorder="1" applyAlignment="1">
      <alignment/>
    </xf>
    <xf numFmtId="0" fontId="4" fillId="42" borderId="0" xfId="0" applyFont="1" applyFill="1" applyBorder="1" applyAlignment="1">
      <alignment horizontal="center"/>
    </xf>
    <xf numFmtId="0" fontId="4" fillId="42" borderId="0" xfId="0" applyFont="1" applyFill="1" applyBorder="1" applyAlignment="1">
      <alignment/>
    </xf>
    <xf numFmtId="164" fontId="4" fillId="42" borderId="0" xfId="0" applyNumberFormat="1" applyFont="1" applyFill="1" applyBorder="1" applyAlignment="1">
      <alignment/>
    </xf>
    <xf numFmtId="165" fontId="4" fillId="42" borderId="0" xfId="0" applyNumberFormat="1" applyFont="1" applyFill="1" applyBorder="1" applyAlignment="1">
      <alignment/>
    </xf>
    <xf numFmtId="166" fontId="6" fillId="42" borderId="0" xfId="0" applyNumberFormat="1" applyFont="1" applyFill="1" applyBorder="1" applyAlignment="1">
      <alignment/>
    </xf>
    <xf numFmtId="172" fontId="6" fillId="42" borderId="0" xfId="0" applyNumberFormat="1" applyFont="1" applyFill="1" applyBorder="1" applyAlignment="1">
      <alignment/>
    </xf>
    <xf numFmtId="0" fontId="6" fillId="42" borderId="0" xfId="0" applyFont="1" applyFill="1" applyBorder="1" applyAlignment="1">
      <alignment horizontal="center"/>
    </xf>
    <xf numFmtId="2" fontId="6" fillId="42" borderId="0" xfId="0" applyNumberFormat="1" applyFont="1" applyFill="1" applyBorder="1" applyAlignment="1">
      <alignment/>
    </xf>
    <xf numFmtId="164" fontId="6" fillId="42" borderId="0" xfId="0" applyNumberFormat="1" applyFont="1" applyFill="1" applyBorder="1" applyAlignment="1">
      <alignment/>
    </xf>
    <xf numFmtId="0" fontId="21" fillId="2" borderId="0" xfId="0" applyFont="1" applyBorder="1" applyAlignment="1">
      <alignment/>
    </xf>
    <xf numFmtId="0" fontId="4" fillId="2" borderId="0" xfId="0" applyFont="1" applyBorder="1" applyAlignment="1">
      <alignment/>
    </xf>
    <xf numFmtId="172" fontId="23" fillId="0" borderId="0" xfId="0" applyNumberFormat="1" applyFont="1" applyFill="1" applyBorder="1" applyAlignment="1">
      <alignment/>
    </xf>
    <xf numFmtId="0" fontId="6" fillId="0" borderId="0" xfId="0" applyFont="1" applyFill="1" applyBorder="1" applyAlignment="1">
      <alignment horizontal="center"/>
    </xf>
    <xf numFmtId="164" fontId="6" fillId="0" borderId="0" xfId="0" applyNumberFormat="1" applyFont="1" applyFill="1" applyBorder="1" applyAlignment="1">
      <alignment/>
    </xf>
    <xf numFmtId="0" fontId="4" fillId="34" borderId="51" xfId="0" applyFont="1" applyFill="1" applyBorder="1" applyAlignment="1">
      <alignment horizontal="center"/>
    </xf>
    <xf numFmtId="0" fontId="7" fillId="35" borderId="51" xfId="0" applyFont="1" applyFill="1" applyBorder="1" applyAlignment="1">
      <alignment horizontal="left"/>
    </xf>
    <xf numFmtId="0" fontId="6" fillId="34" borderId="51" xfId="0" applyFont="1" applyFill="1" applyBorder="1" applyAlignment="1">
      <alignment/>
    </xf>
    <xf numFmtId="166" fontId="6" fillId="38" borderId="51" xfId="0" applyNumberFormat="1" applyFont="1" applyFill="1" applyBorder="1" applyAlignment="1">
      <alignment/>
    </xf>
    <xf numFmtId="166" fontId="4" fillId="37" borderId="51" xfId="0" applyNumberFormat="1" applyFont="1" applyFill="1" applyBorder="1" applyAlignment="1">
      <alignment/>
    </xf>
    <xf numFmtId="166" fontId="4" fillId="42" borderId="51" xfId="0" applyNumberFormat="1" applyFont="1" applyFill="1" applyBorder="1" applyAlignment="1">
      <alignment/>
    </xf>
    <xf numFmtId="166" fontId="6" fillId="0" borderId="51" xfId="0" applyNumberFormat="1" applyFont="1" applyFill="1" applyBorder="1" applyAlignment="1">
      <alignment/>
    </xf>
    <xf numFmtId="166" fontId="6" fillId="0" borderId="51" xfId="0" applyNumberFormat="1" applyFont="1" applyFill="1" applyBorder="1" applyAlignment="1">
      <alignment horizontal="right"/>
    </xf>
    <xf numFmtId="166" fontId="6" fillId="38" borderId="51" xfId="0" applyNumberFormat="1" applyFont="1" applyFill="1" applyBorder="1" applyAlignment="1">
      <alignment horizontal="right"/>
    </xf>
    <xf numFmtId="166" fontId="6" fillId="42" borderId="51" xfId="0" applyNumberFormat="1" applyFont="1" applyFill="1" applyBorder="1" applyAlignment="1">
      <alignment/>
    </xf>
    <xf numFmtId="172" fontId="4" fillId="34" borderId="52" xfId="0" applyNumberFormat="1" applyFont="1" applyFill="1" applyBorder="1" applyAlignment="1">
      <alignment horizontal="center"/>
    </xf>
    <xf numFmtId="172" fontId="7" fillId="35" borderId="52" xfId="0" applyNumberFormat="1" applyFont="1" applyFill="1" applyBorder="1" applyAlignment="1">
      <alignment horizontal="left"/>
    </xf>
    <xf numFmtId="172" fontId="6" fillId="34" borderId="52" xfId="0" applyNumberFormat="1" applyFont="1" applyFill="1" applyBorder="1" applyAlignment="1">
      <alignment/>
    </xf>
    <xf numFmtId="172" fontId="6" fillId="38" borderId="52" xfId="0" applyNumberFormat="1" applyFont="1" applyFill="1" applyBorder="1" applyAlignment="1">
      <alignment/>
    </xf>
    <xf numFmtId="172" fontId="4" fillId="37" borderId="52" xfId="0" applyNumberFormat="1" applyFont="1" applyFill="1" applyBorder="1" applyAlignment="1">
      <alignment/>
    </xf>
    <xf numFmtId="172" fontId="4" fillId="42" borderId="52" xfId="0" applyNumberFormat="1" applyFont="1" applyFill="1" applyBorder="1" applyAlignment="1">
      <alignment/>
    </xf>
    <xf numFmtId="165" fontId="6" fillId="38" borderId="52" xfId="0" applyNumberFormat="1" applyFont="1" applyFill="1" applyBorder="1" applyAlignment="1">
      <alignment horizontal="right"/>
    </xf>
    <xf numFmtId="172" fontId="6" fillId="42" borderId="52" xfId="0" applyNumberFormat="1" applyFont="1" applyFill="1" applyBorder="1" applyAlignment="1">
      <alignment/>
    </xf>
    <xf numFmtId="44" fontId="4" fillId="42" borderId="52" xfId="44" applyFont="1" applyFill="1" applyBorder="1" applyAlignment="1">
      <alignment/>
    </xf>
    <xf numFmtId="0" fontId="4" fillId="34" borderId="52" xfId="0" applyFont="1" applyFill="1" applyBorder="1" applyAlignment="1">
      <alignment horizontal="center"/>
    </xf>
    <xf numFmtId="0" fontId="7" fillId="35" borderId="52" xfId="0" applyFont="1" applyFill="1" applyBorder="1" applyAlignment="1">
      <alignment horizontal="left"/>
    </xf>
    <xf numFmtId="167" fontId="6" fillId="34" borderId="52" xfId="0" applyNumberFormat="1" applyFont="1" applyFill="1" applyBorder="1" applyAlignment="1">
      <alignment/>
    </xf>
    <xf numFmtId="174" fontId="6" fillId="38" borderId="52" xfId="0" applyNumberFormat="1" applyFont="1" applyFill="1" applyBorder="1" applyAlignment="1">
      <alignment horizontal="right"/>
    </xf>
    <xf numFmtId="165" fontId="4" fillId="37" borderId="52" xfId="0" applyNumberFormat="1" applyFont="1" applyFill="1" applyBorder="1" applyAlignment="1">
      <alignment/>
    </xf>
    <xf numFmtId="165" fontId="4" fillId="42" borderId="52" xfId="0" applyNumberFormat="1" applyFont="1" applyFill="1" applyBorder="1" applyAlignment="1">
      <alignment/>
    </xf>
    <xf numFmtId="165" fontId="6" fillId="38" borderId="52" xfId="0" applyNumberFormat="1" applyFont="1" applyFill="1" applyBorder="1" applyAlignment="1">
      <alignment/>
    </xf>
    <xf numFmtId="165" fontId="6" fillId="42" borderId="52" xfId="0" applyNumberFormat="1" applyFont="1" applyFill="1" applyBorder="1" applyAlignment="1">
      <alignment/>
    </xf>
    <xf numFmtId="0" fontId="4" fillId="35" borderId="52" xfId="0" applyFont="1" applyFill="1" applyBorder="1" applyAlignment="1">
      <alignment horizontal="center"/>
    </xf>
    <xf numFmtId="164" fontId="6" fillId="34" borderId="52" xfId="0" applyNumberFormat="1" applyFont="1" applyFill="1" applyBorder="1" applyAlignment="1">
      <alignment/>
    </xf>
    <xf numFmtId="165" fontId="6" fillId="0" borderId="52" xfId="0" applyNumberFormat="1" applyFont="1" applyFill="1" applyBorder="1" applyAlignment="1">
      <alignment horizontal="right"/>
    </xf>
    <xf numFmtId="165" fontId="6" fillId="0" borderId="52" xfId="0" applyNumberFormat="1" applyFont="1" applyFill="1" applyBorder="1" applyAlignment="1">
      <alignment/>
    </xf>
    <xf numFmtId="0" fontId="0" fillId="2" borderId="0" xfId="0" applyFont="1" applyBorder="1" applyAlignment="1">
      <alignment horizontal="center"/>
    </xf>
    <xf numFmtId="3" fontId="0" fillId="2" borderId="0" xfId="0" applyNumberFormat="1" applyBorder="1" applyAlignment="1">
      <alignment horizontal="center"/>
    </xf>
    <xf numFmtId="6" fontId="0" fillId="2" borderId="0" xfId="0" applyNumberFormat="1" applyBorder="1" applyAlignment="1">
      <alignment horizontal="center"/>
    </xf>
    <xf numFmtId="6" fontId="0" fillId="2" borderId="0" xfId="0" applyNumberFormat="1" applyFont="1" applyBorder="1" applyAlignment="1">
      <alignment horizontal="center"/>
    </xf>
    <xf numFmtId="6" fontId="0" fillId="38" borderId="0" xfId="0" applyNumberFormat="1" applyFont="1" applyFill="1" applyBorder="1" applyAlignment="1">
      <alignment horizontal="center"/>
    </xf>
    <xf numFmtId="2" fontId="6" fillId="34" borderId="51" xfId="0" applyNumberFormat="1" applyFont="1" applyFill="1" applyBorder="1" applyAlignment="1">
      <alignment/>
    </xf>
    <xf numFmtId="165" fontId="6" fillId="34" borderId="12" xfId="0" applyNumberFormat="1" applyFont="1" applyFill="1" applyBorder="1" applyAlignment="1">
      <alignment/>
    </xf>
    <xf numFmtId="0" fontId="6" fillId="2" borderId="51" xfId="0" applyFont="1" applyBorder="1" applyAlignment="1">
      <alignment/>
    </xf>
    <xf numFmtId="0" fontId="5" fillId="2" borderId="0" xfId="0" applyFont="1" applyBorder="1" applyAlignment="1">
      <alignment horizontal="center"/>
    </xf>
    <xf numFmtId="172" fontId="6" fillId="38" borderId="0" xfId="0" applyNumberFormat="1" applyFont="1" applyFill="1" applyBorder="1" applyAlignment="1">
      <alignment horizontal="center"/>
    </xf>
    <xf numFmtId="172" fontId="6" fillId="38" borderId="0" xfId="0" applyNumberFormat="1" applyFont="1" applyFill="1" applyBorder="1" applyAlignment="1">
      <alignment horizontal="center" vertical="center"/>
    </xf>
    <xf numFmtId="0" fontId="6" fillId="38" borderId="0" xfId="0" applyFont="1" applyFill="1" applyBorder="1" applyAlignment="1">
      <alignment horizontal="center" vertical="center"/>
    </xf>
    <xf numFmtId="164" fontId="6" fillId="38" borderId="0" xfId="0" applyNumberFormat="1" applyFont="1" applyFill="1" applyBorder="1" applyAlignment="1">
      <alignment horizontal="center" vertical="center"/>
    </xf>
    <xf numFmtId="182" fontId="6" fillId="38" borderId="0" xfId="0" applyNumberFormat="1" applyFont="1" applyFill="1" applyBorder="1" applyAlignment="1">
      <alignment horizontal="center"/>
    </xf>
    <xf numFmtId="4" fontId="6" fillId="38" borderId="0" xfId="0" applyNumberFormat="1" applyFont="1" applyFill="1" applyBorder="1" applyAlignment="1">
      <alignment horizontal="right" vertical="center"/>
    </xf>
    <xf numFmtId="4" fontId="6" fillId="38" borderId="0" xfId="0" applyNumberFormat="1" applyFont="1" applyFill="1" applyBorder="1" applyAlignment="1">
      <alignment/>
    </xf>
    <xf numFmtId="0" fontId="5" fillId="38" borderId="0" xfId="0" applyFont="1" applyFill="1" applyAlignment="1">
      <alignment/>
    </xf>
    <xf numFmtId="164" fontId="0" fillId="38" borderId="0" xfId="0" applyNumberFormat="1" applyFont="1" applyFill="1" applyAlignment="1">
      <alignment/>
    </xf>
    <xf numFmtId="4" fontId="0" fillId="38" borderId="0" xfId="0" applyNumberFormat="1" applyFont="1" applyFill="1" applyAlignment="1">
      <alignment/>
    </xf>
    <xf numFmtId="10" fontId="0" fillId="38" borderId="0" xfId="0" applyNumberFormat="1" applyFont="1" applyFill="1" applyAlignment="1">
      <alignment/>
    </xf>
    <xf numFmtId="10" fontId="0" fillId="38" borderId="0" xfId="59" applyNumberFormat="1" applyFont="1" applyFill="1" applyAlignment="1">
      <alignment/>
    </xf>
    <xf numFmtId="4" fontId="0" fillId="38" borderId="0" xfId="0" applyNumberFormat="1" applyFont="1" applyFill="1" applyBorder="1" applyAlignment="1">
      <alignment horizontal="right"/>
    </xf>
    <xf numFmtId="4" fontId="0" fillId="38" borderId="0" xfId="0" applyNumberFormat="1" applyFont="1" applyFill="1" applyBorder="1" applyAlignment="1">
      <alignment/>
    </xf>
    <xf numFmtId="0" fontId="5" fillId="38" borderId="0" xfId="0" applyFont="1" applyFill="1" applyBorder="1" applyAlignment="1">
      <alignment/>
    </xf>
    <xf numFmtId="10" fontId="5" fillId="38" borderId="0" xfId="59" applyNumberFormat="1" applyFont="1" applyFill="1" applyBorder="1" applyAlignment="1">
      <alignment/>
    </xf>
    <xf numFmtId="0" fontId="5" fillId="38" borderId="0" xfId="0" applyFont="1" applyFill="1" applyBorder="1" applyAlignment="1">
      <alignment horizontal="center"/>
    </xf>
    <xf numFmtId="0" fontId="5" fillId="38" borderId="15" xfId="0" applyFont="1" applyFill="1" applyBorder="1" applyAlignment="1">
      <alignment/>
    </xf>
    <xf numFmtId="0" fontId="5" fillId="38" borderId="15" xfId="0" applyFont="1" applyFill="1" applyBorder="1" applyAlignment="1">
      <alignment horizontal="center"/>
    </xf>
    <xf numFmtId="0" fontId="0" fillId="38" borderId="15" xfId="0" applyFont="1" applyFill="1" applyBorder="1" applyAlignment="1">
      <alignment/>
    </xf>
    <xf numFmtId="0" fontId="5" fillId="39" borderId="0" xfId="0" applyFont="1" applyFill="1" applyBorder="1" applyAlignment="1">
      <alignment/>
    </xf>
    <xf numFmtId="164" fontId="5" fillId="39" borderId="0" xfId="0" applyNumberFormat="1" applyFont="1" applyFill="1" applyBorder="1" applyAlignment="1">
      <alignment/>
    </xf>
    <xf numFmtId="10" fontId="5" fillId="39" borderId="0" xfId="59" applyNumberFormat="1" applyFont="1" applyFill="1" applyBorder="1" applyAlignment="1">
      <alignment/>
    </xf>
    <xf numFmtId="10" fontId="0" fillId="38" borderId="16" xfId="0" applyNumberFormat="1" applyFont="1" applyFill="1" applyBorder="1" applyAlignment="1">
      <alignment/>
    </xf>
    <xf numFmtId="10" fontId="0" fillId="38" borderId="13" xfId="0" applyNumberFormat="1" applyFont="1" applyFill="1" applyBorder="1" applyAlignment="1">
      <alignment/>
    </xf>
    <xf numFmtId="10" fontId="5" fillId="38" borderId="13" xfId="59" applyNumberFormat="1" applyFont="1" applyFill="1" applyBorder="1" applyAlignment="1">
      <alignment/>
    </xf>
    <xf numFmtId="0" fontId="5" fillId="2" borderId="15" xfId="0" applyFont="1" applyBorder="1" applyAlignment="1">
      <alignment horizontal="center"/>
    </xf>
    <xf numFmtId="0" fontId="0" fillId="2" borderId="16" xfId="0" applyFont="1" applyBorder="1" applyAlignment="1">
      <alignment/>
    </xf>
    <xf numFmtId="0" fontId="5" fillId="39" borderId="0" xfId="0" applyFont="1" applyFill="1" applyAlignment="1">
      <alignment/>
    </xf>
    <xf numFmtId="4" fontId="5" fillId="39" borderId="0" xfId="0" applyNumberFormat="1" applyFont="1" applyFill="1" applyAlignment="1">
      <alignment/>
    </xf>
    <xf numFmtId="10" fontId="5" fillId="39" borderId="0" xfId="59" applyNumberFormat="1" applyFont="1" applyFill="1" applyAlignment="1">
      <alignment/>
    </xf>
    <xf numFmtId="0" fontId="0" fillId="39" borderId="0" xfId="0" applyFont="1" applyFill="1" applyBorder="1" applyAlignment="1">
      <alignment/>
    </xf>
    <xf numFmtId="3" fontId="0" fillId="39" borderId="0" xfId="0" applyNumberFormat="1" applyFill="1" applyBorder="1" applyAlignment="1">
      <alignment horizontal="center"/>
    </xf>
    <xf numFmtId="165" fontId="0" fillId="39" borderId="0" xfId="0" applyNumberFormat="1" applyFill="1" applyBorder="1" applyAlignment="1">
      <alignment horizontal="center"/>
    </xf>
    <xf numFmtId="180" fontId="0" fillId="39" borderId="0" xfId="0" applyNumberFormat="1" applyFill="1" applyBorder="1" applyAlignment="1">
      <alignment horizontal="center"/>
    </xf>
    <xf numFmtId="6" fontId="0" fillId="39" borderId="0" xfId="0" applyNumberFormat="1" applyFill="1" applyBorder="1" applyAlignment="1">
      <alignment horizontal="center"/>
    </xf>
    <xf numFmtId="0" fontId="5" fillId="38" borderId="0" xfId="0" applyFont="1" applyFill="1" applyBorder="1" applyAlignment="1">
      <alignment horizontal="center" vertical="center" wrapText="1"/>
    </xf>
    <xf numFmtId="0" fontId="5" fillId="38" borderId="0" xfId="0" applyFont="1" applyFill="1" applyBorder="1" applyAlignment="1">
      <alignment/>
    </xf>
    <xf numFmtId="3" fontId="0" fillId="38" borderId="0" xfId="0" applyNumberFormat="1" applyFill="1" applyBorder="1" applyAlignment="1">
      <alignment horizontal="center"/>
    </xf>
    <xf numFmtId="165" fontId="0" fillId="38" borderId="0" xfId="0" applyNumberFormat="1" applyFill="1" applyBorder="1" applyAlignment="1">
      <alignment horizontal="center"/>
    </xf>
    <xf numFmtId="6" fontId="0" fillId="38" borderId="0" xfId="0" applyNumberFormat="1" applyFill="1" applyBorder="1" applyAlignment="1">
      <alignment horizontal="center"/>
    </xf>
    <xf numFmtId="0" fontId="5" fillId="38" borderId="0" xfId="0" applyFont="1" applyFill="1" applyBorder="1" applyAlignment="1">
      <alignment horizontal="center" wrapText="1"/>
    </xf>
    <xf numFmtId="0" fontId="5" fillId="38" borderId="15" xfId="0" applyFont="1" applyFill="1" applyBorder="1" applyAlignment="1">
      <alignment horizontal="center" vertical="center"/>
    </xf>
    <xf numFmtId="0" fontId="5" fillId="38" borderId="0" xfId="0" applyFont="1" applyFill="1" applyBorder="1" applyAlignment="1">
      <alignment horizontal="center" vertical="center"/>
    </xf>
    <xf numFmtId="0" fontId="20" fillId="2" borderId="0" xfId="0" applyFont="1" applyAlignment="1">
      <alignment/>
    </xf>
    <xf numFmtId="164" fontId="8" fillId="35" borderId="53" xfId="42" applyNumberFormat="1" applyFont="1" applyFill="1" applyBorder="1" applyAlignment="1">
      <alignment horizontal="right"/>
    </xf>
    <xf numFmtId="0" fontId="0" fillId="2" borderId="0" xfId="0" applyAlignment="1" applyProtection="1">
      <alignment/>
      <protection locked="0"/>
    </xf>
    <xf numFmtId="43" fontId="8" fillId="44" borderId="0" xfId="42" applyNumberFormat="1" applyFont="1" applyFill="1" applyBorder="1" applyAlignment="1" applyProtection="1">
      <alignment horizontal="right"/>
      <protection locked="0"/>
    </xf>
    <xf numFmtId="43" fontId="8" fillId="44" borderId="38" xfId="42" applyNumberFormat="1" applyFont="1" applyFill="1" applyBorder="1" applyAlignment="1" applyProtection="1">
      <alignment horizontal="right"/>
      <protection locked="0"/>
    </xf>
    <xf numFmtId="43" fontId="8" fillId="44" borderId="28" xfId="42" applyNumberFormat="1" applyFont="1" applyFill="1" applyBorder="1" applyAlignment="1" applyProtection="1">
      <alignment horizontal="right"/>
      <protection locked="0"/>
    </xf>
    <xf numFmtId="43" fontId="8" fillId="44" borderId="39" xfId="42" applyNumberFormat="1" applyFont="1" applyFill="1" applyBorder="1" applyAlignment="1" applyProtection="1">
      <alignment horizontal="right"/>
      <protection locked="0"/>
    </xf>
    <xf numFmtId="2" fontId="8" fillId="44" borderId="38" xfId="0" applyNumberFormat="1" applyFont="1" applyFill="1" applyBorder="1" applyAlignment="1" applyProtection="1">
      <alignment/>
      <protection locked="0"/>
    </xf>
    <xf numFmtId="2" fontId="8" fillId="44" borderId="28" xfId="0" applyNumberFormat="1" applyFont="1" applyFill="1" applyBorder="1" applyAlignment="1" applyProtection="1">
      <alignment horizontal="right"/>
      <protection locked="0"/>
    </xf>
    <xf numFmtId="4" fontId="8" fillId="44" borderId="39" xfId="0" applyNumberFormat="1" applyFont="1" applyFill="1" applyBorder="1" applyAlignment="1" applyProtection="1">
      <alignment horizontal="right"/>
      <protection locked="0"/>
    </xf>
    <xf numFmtId="2" fontId="8" fillId="44" borderId="38" xfId="0" applyNumberFormat="1" applyFont="1" applyFill="1" applyBorder="1" applyAlignment="1" applyProtection="1">
      <alignment horizontal="right"/>
      <protection locked="0"/>
    </xf>
    <xf numFmtId="4" fontId="8" fillId="44" borderId="28" xfId="44" applyNumberFormat="1" applyFont="1" applyFill="1" applyBorder="1" applyAlignment="1" applyProtection="1">
      <alignment horizontal="right"/>
      <protection locked="0"/>
    </xf>
    <xf numFmtId="4" fontId="8" fillId="44" borderId="28" xfId="0" applyNumberFormat="1" applyFont="1" applyFill="1" applyBorder="1" applyAlignment="1" applyProtection="1">
      <alignment horizontal="right"/>
      <protection locked="0"/>
    </xf>
    <xf numFmtId="164" fontId="8" fillId="44" borderId="0" xfId="42" applyNumberFormat="1" applyFont="1" applyFill="1" applyBorder="1" applyAlignment="1" applyProtection="1">
      <alignment horizontal="right"/>
      <protection locked="0"/>
    </xf>
    <xf numFmtId="164" fontId="8" fillId="44" borderId="38" xfId="42" applyNumberFormat="1" applyFont="1" applyFill="1" applyBorder="1" applyAlignment="1" applyProtection="1">
      <alignment horizontal="right"/>
      <protection locked="0"/>
    </xf>
    <xf numFmtId="164" fontId="8" fillId="44" borderId="28" xfId="42" applyNumberFormat="1" applyFont="1" applyFill="1" applyBorder="1" applyAlignment="1" applyProtection="1">
      <alignment horizontal="right"/>
      <protection locked="0"/>
    </xf>
    <xf numFmtId="164" fontId="8" fillId="44" borderId="28" xfId="44" applyNumberFormat="1" applyFont="1" applyFill="1" applyBorder="1" applyAlignment="1" applyProtection="1">
      <alignment horizontal="right"/>
      <protection locked="0"/>
    </xf>
    <xf numFmtId="164" fontId="8" fillId="44" borderId="38" xfId="44" applyNumberFormat="1" applyFont="1" applyFill="1" applyBorder="1" applyAlignment="1" applyProtection="1">
      <alignment horizontal="right"/>
      <protection locked="0"/>
    </xf>
    <xf numFmtId="164" fontId="8" fillId="44" borderId="39" xfId="44" applyNumberFormat="1" applyFont="1" applyFill="1" applyBorder="1" applyAlignment="1" applyProtection="1">
      <alignment horizontal="right"/>
      <protection locked="0"/>
    </xf>
    <xf numFmtId="165" fontId="8" fillId="44" borderId="38" xfId="0" applyNumberFormat="1" applyFont="1" applyFill="1" applyBorder="1" applyAlignment="1" applyProtection="1">
      <alignment/>
      <protection locked="0"/>
    </xf>
    <xf numFmtId="165" fontId="8" fillId="44" borderId="28" xfId="0" applyNumberFormat="1" applyFont="1" applyFill="1" applyBorder="1" applyAlignment="1" applyProtection="1">
      <alignment horizontal="right"/>
      <protection locked="0"/>
    </xf>
    <xf numFmtId="164" fontId="8" fillId="44" borderId="39" xfId="0" applyNumberFormat="1" applyFont="1" applyFill="1" applyBorder="1" applyAlignment="1" applyProtection="1">
      <alignment horizontal="right"/>
      <protection locked="0"/>
    </xf>
    <xf numFmtId="164" fontId="8" fillId="44" borderId="38" xfId="0" applyNumberFormat="1" applyFont="1" applyFill="1" applyBorder="1" applyAlignment="1" applyProtection="1">
      <alignment horizontal="right"/>
      <protection locked="0"/>
    </xf>
    <xf numFmtId="164" fontId="8" fillId="44" borderId="28" xfId="0" applyNumberFormat="1" applyFont="1" applyFill="1" applyBorder="1" applyAlignment="1" applyProtection="1">
      <alignment horizontal="right"/>
      <protection locked="0"/>
    </xf>
    <xf numFmtId="165" fontId="8" fillId="9" borderId="44" xfId="0" applyNumberFormat="1" applyFont="1" applyFill="1" applyBorder="1" applyAlignment="1" applyProtection="1">
      <alignment/>
      <protection locked="0"/>
    </xf>
    <xf numFmtId="172" fontId="6" fillId="44" borderId="38" xfId="0" applyNumberFormat="1" applyFont="1" applyFill="1" applyBorder="1" applyAlignment="1" applyProtection="1">
      <alignment/>
      <protection locked="0"/>
    </xf>
    <xf numFmtId="172" fontId="6" fillId="44" borderId="28" xfId="0" applyNumberFormat="1" applyFont="1" applyFill="1" applyBorder="1" applyAlignment="1" applyProtection="1">
      <alignment/>
      <protection locked="0"/>
    </xf>
    <xf numFmtId="172" fontId="6" fillId="44" borderId="39" xfId="0" applyNumberFormat="1" applyFont="1" applyFill="1" applyBorder="1" applyAlignment="1" applyProtection="1">
      <alignment/>
      <protection locked="0"/>
    </xf>
    <xf numFmtId="3" fontId="0" fillId="3" borderId="0" xfId="0" applyNumberFormat="1" applyFill="1" applyAlignment="1" applyProtection="1">
      <alignment/>
      <protection locked="0"/>
    </xf>
    <xf numFmtId="191" fontId="0" fillId="3" borderId="0" xfId="0" applyNumberFormat="1" applyFill="1" applyAlignment="1" applyProtection="1">
      <alignment/>
      <protection locked="0"/>
    </xf>
    <xf numFmtId="164" fontId="0" fillId="3" borderId="0" xfId="0" applyNumberFormat="1" applyFill="1" applyAlignment="1" applyProtection="1">
      <alignment/>
      <protection locked="0"/>
    </xf>
    <xf numFmtId="10" fontId="0" fillId="3" borderId="0" xfId="0" applyNumberFormat="1" applyFill="1" applyBorder="1" applyAlignment="1" applyProtection="1">
      <alignment horizontal="center"/>
      <protection locked="0"/>
    </xf>
    <xf numFmtId="0" fontId="9" fillId="43" borderId="12" xfId="0" applyFont="1" applyFill="1" applyBorder="1" applyAlignment="1" applyProtection="1">
      <alignment vertical="center"/>
      <protection locked="0"/>
    </xf>
    <xf numFmtId="166" fontId="0" fillId="7" borderId="44" xfId="0" applyNumberFormat="1" applyFill="1" applyBorder="1" applyAlignment="1" applyProtection="1">
      <alignment horizontal="center" vertical="center"/>
      <protection locked="0"/>
    </xf>
    <xf numFmtId="166" fontId="0" fillId="7" borderId="28" xfId="0" applyNumberFormat="1" applyFill="1" applyBorder="1" applyAlignment="1" applyProtection="1">
      <alignment horizontal="center" vertical="center"/>
      <protection locked="0"/>
    </xf>
    <xf numFmtId="10" fontId="0" fillId="7" borderId="44" xfId="0" applyNumberFormat="1" applyFill="1" applyBorder="1" applyAlignment="1" applyProtection="1">
      <alignment horizontal="center" vertical="center"/>
      <protection locked="0"/>
    </xf>
    <xf numFmtId="10" fontId="0" fillId="7" borderId="28" xfId="0" applyNumberFormat="1" applyFill="1" applyBorder="1" applyAlignment="1" applyProtection="1">
      <alignment horizontal="center" vertical="center"/>
      <protection locked="0"/>
    </xf>
    <xf numFmtId="188" fontId="0" fillId="7" borderId="28" xfId="0" applyNumberFormat="1" applyFill="1" applyBorder="1" applyAlignment="1" applyProtection="1">
      <alignment horizontal="center" vertical="center"/>
      <protection locked="0"/>
    </xf>
    <xf numFmtId="0" fontId="15" fillId="2" borderId="28" xfId="0" applyFont="1" applyBorder="1" applyAlignment="1" applyProtection="1">
      <alignment horizontal="center"/>
      <protection locked="0"/>
    </xf>
    <xf numFmtId="41" fontId="8" fillId="44" borderId="28" xfId="42" applyNumberFormat="1" applyFont="1" applyFill="1" applyBorder="1" applyAlignment="1" applyProtection="1">
      <alignment horizontal="right"/>
      <protection locked="0"/>
    </xf>
    <xf numFmtId="3" fontId="8" fillId="44" borderId="27" xfId="42" applyNumberFormat="1" applyFont="1" applyFill="1" applyBorder="1" applyAlignment="1" applyProtection="1">
      <alignment horizontal="right"/>
      <protection locked="0"/>
    </xf>
    <xf numFmtId="181" fontId="8" fillId="44" borderId="28" xfId="42" applyNumberFormat="1" applyFont="1" applyFill="1" applyBorder="1" applyAlignment="1" applyProtection="1">
      <alignment horizontal="left"/>
      <protection locked="0"/>
    </xf>
    <xf numFmtId="0" fontId="8" fillId="44" borderId="28" xfId="0" applyFont="1" applyFill="1" applyBorder="1" applyAlignment="1" applyProtection="1">
      <alignment/>
      <protection locked="0"/>
    </xf>
    <xf numFmtId="181" fontId="8" fillId="44" borderId="27" xfId="42" applyNumberFormat="1" applyFont="1" applyFill="1" applyBorder="1" applyAlignment="1" applyProtection="1">
      <alignment horizontal="left"/>
      <protection locked="0"/>
    </xf>
    <xf numFmtId="41" fontId="8" fillId="44" borderId="27" xfId="42" applyNumberFormat="1" applyFont="1" applyFill="1" applyBorder="1" applyAlignment="1" applyProtection="1">
      <alignment horizontal="left"/>
      <protection locked="0"/>
    </xf>
    <xf numFmtId="0" fontId="0" fillId="2" borderId="0" xfId="0" applyAlignment="1" applyProtection="1">
      <alignment/>
      <protection/>
    </xf>
    <xf numFmtId="0" fontId="5" fillId="2" borderId="0" xfId="0" applyFont="1" applyAlignment="1" applyProtection="1">
      <alignment horizontal="center"/>
      <protection/>
    </xf>
    <xf numFmtId="0" fontId="0" fillId="2" borderId="0" xfId="0" applyFont="1" applyAlignment="1" applyProtection="1">
      <alignment/>
      <protection/>
    </xf>
    <xf numFmtId="0" fontId="0" fillId="2" borderId="0" xfId="0" applyAlignment="1" applyProtection="1">
      <alignment horizontal="right"/>
      <protection/>
    </xf>
    <xf numFmtId="0" fontId="0" fillId="2" borderId="0" xfId="0" applyAlignment="1" applyProtection="1">
      <alignment/>
      <protection/>
    </xf>
    <xf numFmtId="0" fontId="0" fillId="2" borderId="0" xfId="0" applyAlignment="1" applyProtection="1">
      <alignment horizontal="left"/>
      <protection/>
    </xf>
    <xf numFmtId="164" fontId="0" fillId="38" borderId="0" xfId="0" applyNumberFormat="1" applyFill="1" applyAlignment="1" applyProtection="1">
      <alignment horizontal="center"/>
      <protection/>
    </xf>
    <xf numFmtId="10" fontId="0" fillId="2" borderId="0" xfId="0" applyNumberFormat="1" applyAlignment="1" applyProtection="1">
      <alignment horizontal="left"/>
      <protection/>
    </xf>
    <xf numFmtId="10" fontId="0" fillId="2" borderId="0" xfId="0" applyNumberFormat="1" applyFont="1" applyBorder="1" applyAlignment="1" applyProtection="1">
      <alignment horizontal="left"/>
      <protection/>
    </xf>
    <xf numFmtId="0" fontId="0" fillId="0" borderId="0" xfId="0" applyFill="1" applyAlignment="1" applyProtection="1">
      <alignment/>
      <protection/>
    </xf>
    <xf numFmtId="0" fontId="0" fillId="0" borderId="0" xfId="0" applyFill="1" applyAlignment="1" applyProtection="1">
      <alignment/>
      <protection/>
    </xf>
    <xf numFmtId="2" fontId="0" fillId="2" borderId="0" xfId="0" applyNumberFormat="1" applyAlignment="1" applyProtection="1">
      <alignment horizontal="center"/>
      <protection/>
    </xf>
    <xf numFmtId="2" fontId="0" fillId="2" borderId="0" xfId="0" applyNumberFormat="1" applyAlignment="1" applyProtection="1">
      <alignment horizontal="left"/>
      <protection/>
    </xf>
    <xf numFmtId="0" fontId="6" fillId="2" borderId="0" xfId="0" applyFont="1" applyBorder="1" applyAlignment="1" applyProtection="1">
      <alignment/>
      <protection locked="0"/>
    </xf>
    <xf numFmtId="166" fontId="6" fillId="3" borderId="0" xfId="0" applyNumberFormat="1" applyFont="1" applyFill="1" applyBorder="1" applyAlignment="1" applyProtection="1">
      <alignment horizontal="right"/>
      <protection locked="0"/>
    </xf>
    <xf numFmtId="166" fontId="6" fillId="3" borderId="51" xfId="0" applyNumberFormat="1" applyFont="1" applyFill="1" applyBorder="1" applyAlignment="1" applyProtection="1">
      <alignment/>
      <protection locked="0"/>
    </xf>
    <xf numFmtId="2" fontId="6" fillId="3" borderId="0" xfId="0" applyNumberFormat="1" applyFont="1" applyFill="1" applyBorder="1" applyAlignment="1" applyProtection="1">
      <alignment horizontal="right"/>
      <protection locked="0"/>
    </xf>
    <xf numFmtId="166" fontId="6" fillId="3" borderId="51" xfId="0" applyNumberFormat="1" applyFont="1" applyFill="1" applyBorder="1" applyAlignment="1" applyProtection="1">
      <alignment horizontal="right"/>
      <protection locked="0"/>
    </xf>
    <xf numFmtId="166" fontId="6" fillId="3" borderId="0" xfId="0" applyNumberFormat="1" applyFont="1" applyFill="1" applyBorder="1" applyAlignment="1" applyProtection="1">
      <alignment/>
      <protection locked="0"/>
    </xf>
    <xf numFmtId="166" fontId="6" fillId="0" borderId="51" xfId="0" applyNumberFormat="1" applyFont="1" applyFill="1" applyBorder="1" applyAlignment="1" applyProtection="1">
      <alignment horizontal="right"/>
      <protection locked="0"/>
    </xf>
    <xf numFmtId="0" fontId="0" fillId="2" borderId="0" xfId="0" applyFont="1" applyAlignment="1">
      <alignment horizontal="left" vertical="top" wrapText="1"/>
    </xf>
    <xf numFmtId="0" fontId="17" fillId="2" borderId="0" xfId="0" applyFont="1" applyAlignment="1">
      <alignment horizontal="center"/>
    </xf>
    <xf numFmtId="49" fontId="0" fillId="2" borderId="0" xfId="0" applyNumberFormat="1" applyFont="1" applyAlignment="1">
      <alignment horizontal="center"/>
    </xf>
    <xf numFmtId="0" fontId="0" fillId="2" borderId="0" xfId="0" applyFont="1" applyAlignment="1">
      <alignment horizontal="left" vertical="top" wrapText="1" readingOrder="1"/>
    </xf>
    <xf numFmtId="0" fontId="5" fillId="2" borderId="0" xfId="0" applyFont="1" applyAlignment="1">
      <alignment horizontal="left"/>
    </xf>
    <xf numFmtId="0" fontId="12" fillId="2" borderId="0" xfId="0" applyFont="1" applyAlignment="1">
      <alignment horizontal="center"/>
    </xf>
    <xf numFmtId="0" fontId="0" fillId="2" borderId="0" xfId="0" applyFont="1" applyBorder="1" applyAlignment="1">
      <alignment horizontal="center"/>
    </xf>
    <xf numFmtId="0" fontId="0" fillId="2" borderId="17" xfId="0" applyFont="1" applyBorder="1" applyAlignment="1">
      <alignment horizontal="center"/>
    </xf>
    <xf numFmtId="0" fontId="5" fillId="38" borderId="17" xfId="0" applyFont="1" applyFill="1" applyBorder="1" applyAlignment="1">
      <alignment horizontal="center" vertical="top" wrapText="1"/>
    </xf>
    <xf numFmtId="0" fontId="5" fillId="2" borderId="0" xfId="0" applyFont="1" applyAlignment="1">
      <alignment horizontal="center"/>
    </xf>
    <xf numFmtId="0" fontId="0" fillId="2" borderId="0" xfId="0" applyFont="1" applyAlignment="1">
      <alignment horizontal="center"/>
    </xf>
    <xf numFmtId="0" fontId="0" fillId="2" borderId="0" xfId="0" applyAlignment="1">
      <alignment horizontal="center"/>
    </xf>
    <xf numFmtId="0" fontId="0" fillId="2" borderId="0" xfId="0" applyAlignment="1" applyProtection="1">
      <alignment horizontal="center"/>
      <protection/>
    </xf>
    <xf numFmtId="164" fontId="0" fillId="2" borderId="0" xfId="0" applyNumberFormat="1" applyAlignment="1" applyProtection="1">
      <alignment horizontal="right"/>
      <protection/>
    </xf>
    <xf numFmtId="0" fontId="5" fillId="2" borderId="0" xfId="0" applyFont="1" applyAlignment="1" applyProtection="1">
      <alignment horizontal="center"/>
      <protection/>
    </xf>
    <xf numFmtId="0" fontId="13" fillId="36" borderId="0" xfId="0" applyFont="1" applyFill="1" applyAlignment="1" applyProtection="1">
      <alignment/>
      <protection locked="0"/>
    </xf>
    <xf numFmtId="0" fontId="0" fillId="2" borderId="0" xfId="0" applyAlignment="1" applyProtection="1">
      <alignment/>
      <protection/>
    </xf>
    <xf numFmtId="10" fontId="0" fillId="36" borderId="0" xfId="0" applyNumberFormat="1" applyFill="1" applyAlignment="1" applyProtection="1">
      <alignment horizontal="center"/>
      <protection locked="0"/>
    </xf>
    <xf numFmtId="0" fontId="0" fillId="36" borderId="0" xfId="0" applyFill="1" applyAlignment="1" applyProtection="1">
      <alignment horizontal="center"/>
      <protection locked="0"/>
    </xf>
    <xf numFmtId="2" fontId="0" fillId="2" borderId="0" xfId="0" applyNumberFormat="1" applyAlignment="1" applyProtection="1">
      <alignment horizontal="right"/>
      <protection/>
    </xf>
    <xf numFmtId="4" fontId="0" fillId="2" borderId="0" xfId="0" applyNumberFormat="1" applyAlignment="1" applyProtection="1">
      <alignment/>
      <protection/>
    </xf>
    <xf numFmtId="0" fontId="5" fillId="2" borderId="0" xfId="0" applyFont="1" applyAlignment="1" applyProtection="1">
      <alignment/>
      <protection/>
    </xf>
    <xf numFmtId="2" fontId="0" fillId="2" borderId="0" xfId="0" applyNumberFormat="1" applyAlignment="1" applyProtection="1">
      <alignment/>
      <protection/>
    </xf>
    <xf numFmtId="0" fontId="5" fillId="0" borderId="0" xfId="0" applyFont="1" applyFill="1" applyAlignment="1" applyProtection="1">
      <alignment/>
      <protection/>
    </xf>
    <xf numFmtId="164" fontId="5" fillId="40" borderId="0" xfId="0" applyNumberFormat="1" applyFont="1" applyFill="1" applyAlignment="1" applyProtection="1">
      <alignment/>
      <protection/>
    </xf>
    <xf numFmtId="4" fontId="0" fillId="36" borderId="0" xfId="0" applyNumberFormat="1" applyFill="1" applyAlignment="1" applyProtection="1">
      <alignment horizontal="right"/>
      <protection locked="0"/>
    </xf>
    <xf numFmtId="0" fontId="0" fillId="36" borderId="0" xfId="0" applyFill="1" applyAlignment="1" applyProtection="1">
      <alignment horizontal="left"/>
      <protection locked="0"/>
    </xf>
    <xf numFmtId="2" fontId="0" fillId="36" borderId="0" xfId="0" applyNumberFormat="1" applyFill="1" applyAlignment="1" applyProtection="1">
      <alignment horizontal="right"/>
      <protection locked="0"/>
    </xf>
    <xf numFmtId="4" fontId="0" fillId="36" borderId="0" xfId="0" applyNumberFormat="1" applyFill="1" applyAlignment="1" applyProtection="1">
      <alignment/>
      <protection locked="0"/>
    </xf>
    <xf numFmtId="164" fontId="5" fillId="40" borderId="54" xfId="0" applyNumberFormat="1" applyFont="1" applyFill="1" applyBorder="1" applyAlignment="1" applyProtection="1">
      <alignment/>
      <protection/>
    </xf>
    <xf numFmtId="164" fontId="5" fillId="40" borderId="55" xfId="0" applyNumberFormat="1" applyFont="1" applyFill="1" applyBorder="1" applyAlignment="1" applyProtection="1">
      <alignment/>
      <protection/>
    </xf>
    <xf numFmtId="0" fontId="5" fillId="0" borderId="13" xfId="0" applyFont="1" applyFill="1" applyBorder="1" applyAlignment="1" applyProtection="1">
      <alignment horizontal="left"/>
      <protection/>
    </xf>
    <xf numFmtId="4" fontId="14" fillId="40" borderId="23" xfId="0" applyNumberFormat="1" applyFont="1" applyFill="1" applyBorder="1" applyAlignment="1" applyProtection="1">
      <alignment horizontal="right"/>
      <protection/>
    </xf>
    <xf numFmtId="4" fontId="14" fillId="40" borderId="46" xfId="0" applyNumberFormat="1" applyFont="1" applyFill="1" applyBorder="1" applyAlignment="1" applyProtection="1">
      <alignment horizontal="right"/>
      <protection/>
    </xf>
    <xf numFmtId="0" fontId="5" fillId="0" borderId="0" xfId="0" applyFont="1" applyFill="1" applyAlignment="1" applyProtection="1">
      <alignment horizontal="left"/>
      <protection/>
    </xf>
    <xf numFmtId="164" fontId="5" fillId="40" borderId="56" xfId="0" applyNumberFormat="1" applyFont="1" applyFill="1" applyBorder="1" applyAlignment="1" applyProtection="1">
      <alignment horizontal="right"/>
      <protection/>
    </xf>
    <xf numFmtId="164" fontId="5" fillId="40" borderId="57" xfId="0" applyNumberFormat="1" applyFont="1" applyFill="1" applyBorder="1" applyAlignment="1" applyProtection="1">
      <alignment horizontal="right"/>
      <protection/>
    </xf>
    <xf numFmtId="164" fontId="5" fillId="40" borderId="54" xfId="0" applyNumberFormat="1" applyFont="1" applyFill="1" applyBorder="1" applyAlignment="1" applyProtection="1">
      <alignment horizontal="center"/>
      <protection/>
    </xf>
    <xf numFmtId="164" fontId="5" fillId="40" borderId="55" xfId="0"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K35"/>
  <sheetViews>
    <sheetView zoomScalePageLayoutView="0" workbookViewId="0" topLeftCell="A1">
      <selection activeCell="H37" sqref="H37"/>
    </sheetView>
  </sheetViews>
  <sheetFormatPr defaultColWidth="9.140625" defaultRowHeight="12.75"/>
  <cols>
    <col min="1" max="1" width="4.140625" style="0" customWidth="1"/>
  </cols>
  <sheetData>
    <row r="1" spans="1:10" ht="13.5">
      <c r="A1" s="467" t="s">
        <v>353</v>
      </c>
      <c r="B1" s="467"/>
      <c r="C1" s="467"/>
      <c r="D1" s="467"/>
      <c r="E1" s="467"/>
      <c r="F1" s="467"/>
      <c r="G1" s="467"/>
      <c r="H1" s="467"/>
      <c r="I1" s="467"/>
      <c r="J1" s="467"/>
    </row>
    <row r="2" spans="1:10" ht="13.5">
      <c r="A2" s="467" t="s">
        <v>233</v>
      </c>
      <c r="B2" s="467"/>
      <c r="C2" s="467"/>
      <c r="D2" s="467"/>
      <c r="E2" s="467"/>
      <c r="F2" s="467"/>
      <c r="G2" s="467"/>
      <c r="H2" s="467"/>
      <c r="I2" s="467"/>
      <c r="J2" s="467"/>
    </row>
    <row r="3" spans="1:10" ht="12.75">
      <c r="A3" s="468" t="s">
        <v>383</v>
      </c>
      <c r="B3" s="468"/>
      <c r="C3" s="468"/>
      <c r="D3" s="468"/>
      <c r="E3" s="468"/>
      <c r="F3" s="468"/>
      <c r="G3" s="468"/>
      <c r="H3" s="468"/>
      <c r="I3" s="468"/>
      <c r="J3" s="468"/>
    </row>
    <row r="4" spans="1:8" ht="7.5" customHeight="1">
      <c r="A4" s="212"/>
      <c r="C4" s="212"/>
      <c r="D4" s="212"/>
      <c r="E4" s="212"/>
      <c r="F4" s="212"/>
      <c r="G4" s="212"/>
      <c r="H4" s="212"/>
    </row>
    <row r="5" spans="1:8" ht="13.5">
      <c r="A5" s="212"/>
      <c r="B5" s="17" t="s">
        <v>234</v>
      </c>
      <c r="C5" s="212"/>
      <c r="D5" s="212"/>
      <c r="E5" s="212"/>
      <c r="F5" s="212"/>
      <c r="G5" s="212"/>
      <c r="H5" s="212"/>
    </row>
    <row r="6" spans="1:8" ht="7.5" customHeight="1">
      <c r="A6" s="212"/>
      <c r="C6" s="212"/>
      <c r="D6" s="212"/>
      <c r="E6" s="212"/>
      <c r="F6" s="212"/>
      <c r="G6" s="212"/>
      <c r="H6" s="212"/>
    </row>
    <row r="7" spans="1:8" ht="13.5">
      <c r="A7" s="212"/>
      <c r="B7" s="213" t="s">
        <v>384</v>
      </c>
      <c r="C7" s="212"/>
      <c r="D7" s="212"/>
      <c r="E7" s="212"/>
      <c r="F7" s="212"/>
      <c r="G7" s="212"/>
      <c r="H7" s="212"/>
    </row>
    <row r="8" spans="1:8" ht="13.5">
      <c r="A8" s="212"/>
      <c r="B8" s="17" t="s">
        <v>355</v>
      </c>
      <c r="C8" s="212"/>
      <c r="D8" s="212"/>
      <c r="E8" s="212"/>
      <c r="F8" s="212"/>
      <c r="G8" s="212"/>
      <c r="H8" s="212"/>
    </row>
    <row r="9" spans="1:8" ht="13.5">
      <c r="A9" s="212"/>
      <c r="B9" s="17" t="s">
        <v>354</v>
      </c>
      <c r="C9" s="212"/>
      <c r="D9" s="212"/>
      <c r="E9" s="212"/>
      <c r="F9" s="212"/>
      <c r="G9" s="212"/>
      <c r="H9" s="212"/>
    </row>
    <row r="10" spans="1:8" ht="7.5" customHeight="1">
      <c r="A10" s="212"/>
      <c r="C10" s="212"/>
      <c r="D10" s="212"/>
      <c r="E10" s="212"/>
      <c r="F10" s="212"/>
      <c r="G10" s="212"/>
      <c r="H10" s="212"/>
    </row>
    <row r="11" spans="1:8" ht="13.5" customHeight="1">
      <c r="A11" s="212"/>
      <c r="B11" t="s">
        <v>351</v>
      </c>
      <c r="C11" s="212"/>
      <c r="D11" s="212"/>
      <c r="E11" s="212"/>
      <c r="F11" s="212"/>
      <c r="G11" s="212"/>
      <c r="H11" s="212"/>
    </row>
    <row r="12" spans="1:8" ht="14.25" customHeight="1">
      <c r="A12" s="212"/>
      <c r="B12" t="s">
        <v>356</v>
      </c>
      <c r="C12" s="212"/>
      <c r="D12" s="212"/>
      <c r="E12" s="212"/>
      <c r="F12" s="212"/>
      <c r="G12" s="212"/>
      <c r="H12" s="212"/>
    </row>
    <row r="13" spans="1:8" ht="14.25" customHeight="1">
      <c r="A13" s="212"/>
      <c r="B13" t="s">
        <v>352</v>
      </c>
      <c r="C13" s="212"/>
      <c r="D13" s="212"/>
      <c r="E13" s="212"/>
      <c r="F13" s="212"/>
      <c r="G13" s="212"/>
      <c r="H13" s="212"/>
    </row>
    <row r="14" spans="1:8" ht="7.5" customHeight="1">
      <c r="A14" s="212"/>
      <c r="C14" s="212"/>
      <c r="D14" s="212"/>
      <c r="E14" s="212"/>
      <c r="F14" s="212"/>
      <c r="G14" s="212"/>
      <c r="H14" s="212"/>
    </row>
    <row r="15" spans="1:8" ht="15" customHeight="1">
      <c r="A15" s="212"/>
      <c r="B15" t="s">
        <v>359</v>
      </c>
      <c r="C15" s="212"/>
      <c r="D15" s="212"/>
      <c r="E15" s="212"/>
      <c r="F15" s="212"/>
      <c r="G15" s="212"/>
      <c r="H15" s="212"/>
    </row>
    <row r="16" spans="1:8" ht="15.75" customHeight="1">
      <c r="A16" s="212"/>
      <c r="B16" t="s">
        <v>360</v>
      </c>
      <c r="C16" s="212"/>
      <c r="D16" s="212"/>
      <c r="E16" s="212"/>
      <c r="F16" s="212"/>
      <c r="G16" s="212"/>
      <c r="H16" s="212"/>
    </row>
    <row r="17" spans="1:8" ht="13.5" customHeight="1">
      <c r="A17" s="212"/>
      <c r="B17" t="s">
        <v>361</v>
      </c>
      <c r="C17" s="212"/>
      <c r="D17" s="212"/>
      <c r="E17" s="212"/>
      <c r="F17" s="212"/>
      <c r="G17" s="212"/>
      <c r="H17" s="212"/>
    </row>
    <row r="18" spans="1:8" ht="7.5" customHeight="1">
      <c r="A18" s="212"/>
      <c r="C18" s="212"/>
      <c r="D18" s="212"/>
      <c r="E18" s="212"/>
      <c r="F18" s="212"/>
      <c r="G18" s="212"/>
      <c r="H18" s="212"/>
    </row>
    <row r="19" spans="1:8" ht="15.75" customHeight="1">
      <c r="A19" s="212"/>
      <c r="B19" s="17"/>
      <c r="C19" s="212"/>
      <c r="D19" s="212"/>
      <c r="E19" s="212"/>
      <c r="F19" s="212"/>
      <c r="G19" s="212"/>
      <c r="H19" s="212"/>
    </row>
    <row r="20" spans="1:8" ht="15" customHeight="1">
      <c r="A20" s="212"/>
      <c r="B20" s="17" t="s">
        <v>385</v>
      </c>
      <c r="C20" s="212"/>
      <c r="D20" s="212"/>
      <c r="E20" s="212"/>
      <c r="F20" s="212"/>
      <c r="G20" s="212"/>
      <c r="H20" s="212"/>
    </row>
    <row r="21" spans="1:8" ht="7.5" customHeight="1">
      <c r="A21" s="212"/>
      <c r="B21" s="17"/>
      <c r="C21" s="212"/>
      <c r="D21" s="212"/>
      <c r="E21" s="212"/>
      <c r="F21" s="212"/>
      <c r="G21" s="212"/>
      <c r="H21" s="212"/>
    </row>
    <row r="22" ht="7.5" customHeight="1"/>
    <row r="23" spans="2:10" ht="59.25" customHeight="1">
      <c r="B23" s="469" t="s">
        <v>357</v>
      </c>
      <c r="C23" s="469"/>
      <c r="D23" s="469"/>
      <c r="E23" s="469"/>
      <c r="F23" s="469"/>
      <c r="G23" s="469"/>
      <c r="H23" s="469"/>
      <c r="I23" s="469"/>
      <c r="J23" s="469"/>
    </row>
    <row r="24" spans="2:10" ht="79.5" customHeight="1">
      <c r="B24" s="466" t="s">
        <v>231</v>
      </c>
      <c r="C24" s="466"/>
      <c r="D24" s="466"/>
      <c r="E24" s="466"/>
      <c r="F24" s="466"/>
      <c r="G24" s="466"/>
      <c r="H24" s="466"/>
      <c r="I24" s="466"/>
      <c r="J24" s="466"/>
    </row>
    <row r="25" spans="2:10" ht="7.5" customHeight="1">
      <c r="B25" s="214"/>
      <c r="C25" s="214"/>
      <c r="D25" s="214"/>
      <c r="E25" s="214"/>
      <c r="F25" s="214"/>
      <c r="G25" s="214"/>
      <c r="H25" s="214"/>
      <c r="I25" s="214"/>
      <c r="J25" s="214"/>
    </row>
    <row r="26" spans="2:10" ht="64.5" customHeight="1">
      <c r="B26" s="466" t="s">
        <v>232</v>
      </c>
      <c r="C26" s="466"/>
      <c r="D26" s="466"/>
      <c r="E26" s="466"/>
      <c r="F26" s="466"/>
      <c r="G26" s="466"/>
      <c r="H26" s="466"/>
      <c r="I26" s="466"/>
      <c r="J26" s="466"/>
    </row>
    <row r="27" spans="2:9" ht="7.5" customHeight="1">
      <c r="B27" s="215"/>
      <c r="C27" s="215"/>
      <c r="D27" s="215"/>
      <c r="E27" s="215"/>
      <c r="F27" s="215"/>
      <c r="G27" s="215"/>
      <c r="H27" s="215"/>
      <c r="I27" s="215"/>
    </row>
    <row r="28" spans="2:10" ht="63.75" customHeight="1">
      <c r="B28" s="466" t="s">
        <v>323</v>
      </c>
      <c r="C28" s="466"/>
      <c r="D28" s="466"/>
      <c r="E28" s="466"/>
      <c r="F28" s="466"/>
      <c r="G28" s="466"/>
      <c r="H28" s="466"/>
      <c r="I28" s="466"/>
      <c r="J28" s="466"/>
    </row>
    <row r="29" ht="8.25" customHeight="1"/>
    <row r="30" spans="2:11" ht="12.75">
      <c r="B30" s="213" t="s">
        <v>378</v>
      </c>
      <c r="C30" s="47"/>
      <c r="D30" s="47"/>
      <c r="E30" s="47"/>
      <c r="F30" s="47"/>
      <c r="G30" s="47"/>
      <c r="H30" s="47"/>
      <c r="I30" s="47"/>
      <c r="J30" s="47"/>
      <c r="K30" s="47"/>
    </row>
    <row r="31" spans="2:11" ht="12.75">
      <c r="B31" s="213" t="s">
        <v>379</v>
      </c>
      <c r="C31" s="5"/>
      <c r="D31" s="5"/>
      <c r="E31" s="5"/>
      <c r="F31" s="5"/>
      <c r="G31" s="5"/>
      <c r="H31" s="5"/>
      <c r="I31" s="5"/>
      <c r="J31" s="5"/>
      <c r="K31" s="5"/>
    </row>
    <row r="32" spans="2:11" ht="12.75">
      <c r="B32" s="213" t="s">
        <v>380</v>
      </c>
      <c r="C32" s="5"/>
      <c r="D32" s="5"/>
      <c r="E32" s="5"/>
      <c r="F32" s="5"/>
      <c r="G32" s="5"/>
      <c r="H32" s="5"/>
      <c r="I32" s="5"/>
      <c r="J32" s="5"/>
      <c r="K32" s="5"/>
    </row>
    <row r="33" spans="2:11" ht="12.75">
      <c r="B33" s="213" t="s">
        <v>386</v>
      </c>
      <c r="C33" s="5"/>
      <c r="D33" s="5"/>
      <c r="E33" s="5"/>
      <c r="F33" s="5"/>
      <c r="G33" s="5"/>
      <c r="H33" s="5"/>
      <c r="I33" s="5"/>
      <c r="J33" s="5"/>
      <c r="K33" s="5"/>
    </row>
    <row r="34" spans="2:11" ht="12.75">
      <c r="B34" s="218" t="s">
        <v>387</v>
      </c>
      <c r="C34" s="5"/>
      <c r="D34" s="5"/>
      <c r="E34" s="5"/>
      <c r="F34" s="5"/>
      <c r="G34" s="5"/>
      <c r="H34" s="5"/>
      <c r="I34" s="5"/>
      <c r="J34" s="5"/>
      <c r="K34" s="5"/>
    </row>
    <row r="35" ht="12.75">
      <c r="B35" s="401" t="s">
        <v>388</v>
      </c>
    </row>
  </sheetData>
  <sheetProtection password="EB79" sheet="1" objects="1" scenarios="1" selectLockedCells="1" selectUnlockedCells="1"/>
  <mergeCells count="7">
    <mergeCell ref="B26:J26"/>
    <mergeCell ref="B28:J28"/>
    <mergeCell ref="A1:J1"/>
    <mergeCell ref="A2:J2"/>
    <mergeCell ref="A3:J3"/>
    <mergeCell ref="B23:J23"/>
    <mergeCell ref="B24:J24"/>
  </mergeCells>
  <printOptions/>
  <pageMargins left="0.7" right="0.7" top="0.61" bottom="0.49" header="0.3" footer="0.3"/>
  <pageSetup fitToHeight="1" fitToWidth="1"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J51"/>
  <sheetViews>
    <sheetView zoomScalePageLayoutView="0" workbookViewId="0" topLeftCell="A1">
      <selection activeCell="G43" sqref="G43"/>
    </sheetView>
  </sheetViews>
  <sheetFormatPr defaultColWidth="9.140625" defaultRowHeight="12.75"/>
  <cols>
    <col min="1" max="1" width="16.7109375" style="0" customWidth="1"/>
    <col min="8" max="8" width="9.28125" style="0" bestFit="1" customWidth="1"/>
    <col min="9" max="9" width="12.421875" style="0" customWidth="1"/>
  </cols>
  <sheetData>
    <row r="1" spans="1:10" ht="12.75">
      <c r="A1" s="470" t="s">
        <v>375</v>
      </c>
      <c r="B1" s="470"/>
      <c r="C1" s="470"/>
      <c r="D1" s="470"/>
      <c r="E1" s="470"/>
      <c r="F1" s="470"/>
      <c r="G1" s="470"/>
      <c r="H1" s="470"/>
      <c r="I1" s="470"/>
      <c r="J1" s="219"/>
    </row>
    <row r="2" spans="2:10" ht="12.75">
      <c r="B2" s="5"/>
      <c r="C2" s="5"/>
      <c r="D2" s="5"/>
      <c r="E2" s="5"/>
      <c r="F2" s="5"/>
      <c r="G2" s="5"/>
      <c r="H2" s="5"/>
      <c r="I2" s="5"/>
      <c r="J2" s="5"/>
    </row>
    <row r="3" ht="12.75">
      <c r="A3" s="4" t="s">
        <v>209</v>
      </c>
    </row>
    <row r="5" spans="2:8" ht="12.75">
      <c r="B5" s="17" t="s">
        <v>241</v>
      </c>
      <c r="C5" s="17"/>
      <c r="G5" s="429">
        <v>96646</v>
      </c>
      <c r="H5" s="17" t="s">
        <v>376</v>
      </c>
    </row>
    <row r="6" ht="12.75">
      <c r="B6" s="17" t="s">
        <v>325</v>
      </c>
    </row>
    <row r="7" spans="3:7" ht="12.75">
      <c r="C7" s="17" t="s">
        <v>213</v>
      </c>
      <c r="G7" s="430">
        <v>0.8</v>
      </c>
    </row>
    <row r="8" spans="3:7" ht="12.75">
      <c r="C8" s="17" t="s">
        <v>207</v>
      </c>
      <c r="G8" s="69">
        <f>G5*G7</f>
        <v>77316.8</v>
      </c>
    </row>
    <row r="9" spans="3:7" ht="12.75">
      <c r="C9" s="17" t="s">
        <v>333</v>
      </c>
      <c r="G9" s="69">
        <f>G8/25</f>
        <v>3092.672</v>
      </c>
    </row>
    <row r="10" spans="3:7" ht="12.75">
      <c r="C10" s="17"/>
      <c r="G10" s="69"/>
    </row>
    <row r="11" spans="3:8" ht="12.75">
      <c r="C11" s="17" t="s">
        <v>330</v>
      </c>
      <c r="G11" s="429">
        <v>33301</v>
      </c>
      <c r="H11" s="79">
        <f>G11/G$5</f>
        <v>0.3445667694472611</v>
      </c>
    </row>
    <row r="12" spans="3:8" ht="12.75">
      <c r="C12" s="17" t="s">
        <v>331</v>
      </c>
      <c r="G12" s="429">
        <v>24748</v>
      </c>
      <c r="H12" s="79">
        <f>G12/G$5</f>
        <v>0.2560685387910519</v>
      </c>
    </row>
    <row r="13" spans="3:8" ht="12.75">
      <c r="C13" s="17" t="s">
        <v>332</v>
      </c>
      <c r="G13" s="429">
        <v>19078</v>
      </c>
      <c r="H13" s="79">
        <f>G13/G$5</f>
        <v>0.19740082362436107</v>
      </c>
    </row>
    <row r="14" spans="2:8" ht="12.75">
      <c r="B14" s="17" t="s">
        <v>131</v>
      </c>
      <c r="H14" s="79" t="s">
        <v>2</v>
      </c>
    </row>
    <row r="15" spans="3:8" ht="12.75">
      <c r="C15" s="17" t="s">
        <v>213</v>
      </c>
      <c r="G15" s="202">
        <f>1-G7</f>
        <v>0.19999999999999996</v>
      </c>
      <c r="H15" s="79"/>
    </row>
    <row r="16" spans="3:7" ht="12.75">
      <c r="C16" s="17" t="s">
        <v>207</v>
      </c>
      <c r="G16" s="69">
        <f>G5-G8</f>
        <v>19329.199999999997</v>
      </c>
    </row>
    <row r="18" ht="12.75">
      <c r="B18" s="17" t="s">
        <v>334</v>
      </c>
    </row>
    <row r="19" spans="3:7" ht="12.75">
      <c r="C19" s="17" t="s">
        <v>330</v>
      </c>
      <c r="G19" s="431">
        <v>9.5</v>
      </c>
    </row>
    <row r="20" spans="3:7" ht="12.75">
      <c r="C20" s="17" t="s">
        <v>331</v>
      </c>
      <c r="G20" s="431">
        <v>8.15</v>
      </c>
    </row>
    <row r="21" spans="3:7" ht="12.75">
      <c r="C21" s="17" t="s">
        <v>332</v>
      </c>
      <c r="G21" s="431">
        <v>7</v>
      </c>
    </row>
    <row r="22" ht="12.75">
      <c r="B22" s="17" t="s">
        <v>335</v>
      </c>
    </row>
    <row r="23" spans="3:9" ht="12.75">
      <c r="C23" s="17" t="s">
        <v>208</v>
      </c>
      <c r="G23" s="431">
        <v>0</v>
      </c>
      <c r="I23" s="403"/>
    </row>
    <row r="25" ht="12.75">
      <c r="A25" s="4" t="s">
        <v>212</v>
      </c>
    </row>
    <row r="27" ht="12.75">
      <c r="B27" s="17" t="s">
        <v>211</v>
      </c>
    </row>
    <row r="28" ht="12.75">
      <c r="C28" s="17" t="s">
        <v>237</v>
      </c>
    </row>
    <row r="29" spans="3:8" ht="12.75">
      <c r="C29" s="17" t="s">
        <v>238</v>
      </c>
      <c r="G29" s="431">
        <v>14</v>
      </c>
      <c r="H29" s="17" t="s">
        <v>236</v>
      </c>
    </row>
    <row r="30" spans="3:8" ht="12.75">
      <c r="C30" s="17" t="s">
        <v>239</v>
      </c>
      <c r="G30" s="37">
        <f>Labor!I53</f>
        <v>15.721984615384617</v>
      </c>
      <c r="H30" t="s">
        <v>236</v>
      </c>
    </row>
    <row r="31" ht="12.75">
      <c r="C31" s="17" t="s">
        <v>240</v>
      </c>
    </row>
    <row r="32" spans="3:8" ht="12.75">
      <c r="C32" s="17" t="s">
        <v>238</v>
      </c>
      <c r="G32" s="431">
        <v>7.5</v>
      </c>
      <c r="H32" t="s">
        <v>236</v>
      </c>
    </row>
    <row r="33" spans="3:8" ht="12.75">
      <c r="C33" s="17" t="s">
        <v>239</v>
      </c>
      <c r="G33" s="37">
        <f>Labor!I107</f>
        <v>8.474923076923078</v>
      </c>
      <c r="H33" t="s">
        <v>236</v>
      </c>
    </row>
    <row r="34" spans="3:7" ht="12.75">
      <c r="C34" s="17"/>
      <c r="G34" s="37"/>
    </row>
    <row r="35" spans="2:8" ht="12.75">
      <c r="B35" s="17" t="s">
        <v>210</v>
      </c>
      <c r="G35" s="431">
        <v>3</v>
      </c>
      <c r="H35" s="17" t="s">
        <v>336</v>
      </c>
    </row>
    <row r="37" spans="2:8" ht="12.75">
      <c r="B37" s="17" t="s">
        <v>337</v>
      </c>
      <c r="G37" s="431">
        <v>3.5</v>
      </c>
      <c r="H37" s="17" t="s">
        <v>339</v>
      </c>
    </row>
    <row r="38" spans="2:8" ht="12.75">
      <c r="B38" s="17" t="s">
        <v>338</v>
      </c>
      <c r="G38" s="431">
        <v>3.95</v>
      </c>
      <c r="H38" s="17" t="s">
        <v>339</v>
      </c>
    </row>
    <row r="40" spans="3:7" ht="12.75">
      <c r="C40" s="17"/>
      <c r="G40" s="216"/>
    </row>
    <row r="41" spans="3:7" ht="12.75">
      <c r="C41" s="200" t="s">
        <v>122</v>
      </c>
      <c r="D41" s="200"/>
      <c r="E41" s="217"/>
      <c r="G41" s="432">
        <v>0.07</v>
      </c>
    </row>
    <row r="42" spans="3:7" ht="12.75">
      <c r="C42" s="200" t="s">
        <v>123</v>
      </c>
      <c r="D42" s="217"/>
      <c r="E42" s="217"/>
      <c r="G42" s="432">
        <v>0.008</v>
      </c>
    </row>
    <row r="43" spans="3:9" ht="12.75">
      <c r="C43" s="200" t="s">
        <v>124</v>
      </c>
      <c r="D43" s="200"/>
      <c r="E43" s="200"/>
      <c r="G43" s="432">
        <v>0.008</v>
      </c>
      <c r="I43" s="403"/>
    </row>
    <row r="44" spans="3:7" ht="12.75">
      <c r="C44" s="200"/>
      <c r="D44" s="200"/>
      <c r="E44" s="200"/>
      <c r="G44" s="220"/>
    </row>
    <row r="45" spans="1:7" ht="12.75">
      <c r="A45" s="4" t="s">
        <v>242</v>
      </c>
      <c r="C45" s="200"/>
      <c r="D45" s="200"/>
      <c r="E45" s="200"/>
      <c r="G45" s="220"/>
    </row>
    <row r="46" ht="13.5" customHeight="1"/>
    <row r="47" spans="1:9" ht="66" thickBot="1">
      <c r="A47" s="221" t="s">
        <v>244</v>
      </c>
      <c r="B47" s="221" t="s">
        <v>223</v>
      </c>
      <c r="C47" s="221" t="s">
        <v>224</v>
      </c>
      <c r="D47" s="221" t="s">
        <v>225</v>
      </c>
      <c r="E47" s="222" t="s">
        <v>243</v>
      </c>
      <c r="F47" s="222" t="s">
        <v>226</v>
      </c>
      <c r="G47" s="222" t="s">
        <v>227</v>
      </c>
      <c r="H47" s="222" t="s">
        <v>228</v>
      </c>
      <c r="I47" s="222" t="s">
        <v>229</v>
      </c>
    </row>
    <row r="48" spans="1:9" ht="13.5" customHeight="1" thickBot="1" thickTop="1">
      <c r="A48" s="223" t="s">
        <v>125</v>
      </c>
      <c r="B48" s="265">
        <f>G$38</f>
        <v>3.95</v>
      </c>
      <c r="C48" s="434">
        <v>1.5</v>
      </c>
      <c r="D48" s="436">
        <v>0.02</v>
      </c>
      <c r="E48" s="224"/>
      <c r="F48" s="224"/>
      <c r="G48" s="225">
        <f>B48*C48</f>
        <v>5.925000000000001</v>
      </c>
      <c r="H48" s="226">
        <f>G48*D48</f>
        <v>0.11850000000000002</v>
      </c>
      <c r="I48" s="226">
        <f>G48+H48</f>
        <v>6.043500000000001</v>
      </c>
    </row>
    <row r="49" spans="1:9" ht="13.5" customHeight="1" thickBot="1" thickTop="1">
      <c r="A49" s="227" t="s">
        <v>126</v>
      </c>
      <c r="B49" s="265">
        <f>G$38</f>
        <v>3.95</v>
      </c>
      <c r="C49" s="435">
        <v>2.5</v>
      </c>
      <c r="D49" s="437">
        <v>0.02</v>
      </c>
      <c r="E49" s="228"/>
      <c r="F49" s="228"/>
      <c r="G49" s="229">
        <f>B49*C49</f>
        <v>9.875</v>
      </c>
      <c r="H49" s="230">
        <f>G49*D49</f>
        <v>0.1975</v>
      </c>
      <c r="I49" s="230">
        <f>G49+H49</f>
        <v>10.0725</v>
      </c>
    </row>
    <row r="50" spans="1:9" ht="13.5" customHeight="1" thickBot="1" thickTop="1">
      <c r="A50" s="227" t="s">
        <v>127</v>
      </c>
      <c r="B50" s="265">
        <f>G$38</f>
        <v>3.95</v>
      </c>
      <c r="C50" s="435">
        <v>0.375</v>
      </c>
      <c r="D50" s="437">
        <v>0.02</v>
      </c>
      <c r="E50" s="231"/>
      <c r="F50" s="433"/>
      <c r="G50" s="229">
        <f>B50*C50</f>
        <v>1.4812500000000002</v>
      </c>
      <c r="H50" s="230">
        <f>G50*D50</f>
        <v>0.029625000000000005</v>
      </c>
      <c r="I50" s="230">
        <f>G50+H50</f>
        <v>1.5108750000000002</v>
      </c>
    </row>
    <row r="51" spans="1:9" ht="13.5" customHeight="1" thickTop="1">
      <c r="A51" s="232" t="s">
        <v>235</v>
      </c>
      <c r="B51" s="265">
        <f>G$37</f>
        <v>3.5</v>
      </c>
      <c r="C51" s="264"/>
      <c r="D51" s="437">
        <v>0.02</v>
      </c>
      <c r="E51" s="438">
        <v>15</v>
      </c>
      <c r="F51" s="438">
        <v>50</v>
      </c>
      <c r="G51" s="229">
        <f>(B51*F51)/E51</f>
        <v>11.666666666666666</v>
      </c>
      <c r="H51" s="230">
        <f>G51*D51</f>
        <v>0.23333333333333334</v>
      </c>
      <c r="I51" s="230">
        <f>G51+H51</f>
        <v>11.899999999999999</v>
      </c>
    </row>
  </sheetData>
  <sheetProtection password="EB79" sheet="1" objects="1" scenarios="1" selectLockedCells="1"/>
  <mergeCells count="1">
    <mergeCell ref="A1:I1"/>
  </mergeCells>
  <printOptions/>
  <pageMargins left="0.64" right="0.41" top="0.75" bottom="0.75" header="0.3" footer="0.3"/>
  <pageSetup fitToHeight="1" fitToWidth="1"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theme="7" tint="0.39998000860214233"/>
  </sheetPr>
  <dimension ref="A1:J61"/>
  <sheetViews>
    <sheetView showGridLines="0" zoomScalePageLayoutView="0" workbookViewId="0" topLeftCell="A1">
      <selection activeCell="A1" sqref="A1:J1"/>
    </sheetView>
  </sheetViews>
  <sheetFormatPr defaultColWidth="9.140625" defaultRowHeight="12.75"/>
  <cols>
    <col min="6" max="7" width="9.28125" style="0" bestFit="1" customWidth="1"/>
    <col min="8" max="9" width="9.8515625" style="0" bestFit="1" customWidth="1"/>
  </cols>
  <sheetData>
    <row r="1" spans="1:10" ht="12.75">
      <c r="A1" s="471" t="s">
        <v>324</v>
      </c>
      <c r="B1" s="471"/>
      <c r="C1" s="471"/>
      <c r="D1" s="471"/>
      <c r="E1" s="471"/>
      <c r="F1" s="471"/>
      <c r="G1" s="471"/>
      <c r="H1" s="471"/>
      <c r="I1" s="471"/>
      <c r="J1" s="471"/>
    </row>
    <row r="2" spans="1:10" ht="13.5" thickBot="1">
      <c r="A2" s="77" t="s">
        <v>2</v>
      </c>
      <c r="C2" s="77" t="s">
        <v>206</v>
      </c>
      <c r="E2" s="78">
        <f>Assumptions!G8</f>
        <v>77316.8</v>
      </c>
      <c r="F2" s="77" t="s">
        <v>205</v>
      </c>
      <c r="G2" s="78">
        <f>Assumptions!G9</f>
        <v>3092.672</v>
      </c>
      <c r="H2" s="77" t="s">
        <v>326</v>
      </c>
      <c r="I2" s="77"/>
      <c r="J2" s="77"/>
    </row>
    <row r="3" spans="2:10" ht="12.75">
      <c r="B3" s="68"/>
      <c r="C3" s="61"/>
      <c r="D3" s="74"/>
      <c r="E3" s="61"/>
      <c r="F3" s="59" t="s">
        <v>63</v>
      </c>
      <c r="G3" s="59" t="s">
        <v>64</v>
      </c>
      <c r="H3" s="59" t="s">
        <v>65</v>
      </c>
      <c r="I3" s="59" t="s">
        <v>66</v>
      </c>
      <c r="J3" s="59" t="s">
        <v>192</v>
      </c>
    </row>
    <row r="4" spans="1:10" ht="13.5" thickBot="1">
      <c r="A4" s="55" t="s">
        <v>3</v>
      </c>
      <c r="B4" s="55" t="s">
        <v>193</v>
      </c>
      <c r="C4" s="55"/>
      <c r="D4" s="55"/>
      <c r="E4" s="55"/>
      <c r="F4" s="60" t="s">
        <v>115</v>
      </c>
      <c r="G4" s="60" t="s">
        <v>115</v>
      </c>
      <c r="H4" s="60" t="s">
        <v>115</v>
      </c>
      <c r="I4" s="60" t="s">
        <v>115</v>
      </c>
      <c r="J4" s="60" t="s">
        <v>115</v>
      </c>
    </row>
    <row r="5" spans="1:10" ht="12.75">
      <c r="A5" s="61" t="s">
        <v>48</v>
      </c>
      <c r="B5" s="61"/>
      <c r="C5" s="61"/>
      <c r="D5" s="61"/>
      <c r="E5" s="61"/>
      <c r="F5" s="62" t="s">
        <v>2</v>
      </c>
      <c r="G5" s="62" t="s">
        <v>2</v>
      </c>
      <c r="H5" s="62" t="s">
        <v>2</v>
      </c>
      <c r="I5" s="62" t="s">
        <v>2</v>
      </c>
      <c r="J5" s="61"/>
    </row>
    <row r="6" spans="1:10" ht="12.75">
      <c r="A6" s="61"/>
      <c r="B6" s="61" t="s">
        <v>51</v>
      </c>
      <c r="C6" s="61"/>
      <c r="D6" s="61"/>
      <c r="E6" s="61"/>
      <c r="F6" s="62">
        <f>ProductionSequence!H6</f>
        <v>0</v>
      </c>
      <c r="G6" s="62">
        <f>ProductionSequence!L6</f>
        <v>250</v>
      </c>
      <c r="H6" s="62">
        <f>ProductionSequence!O6</f>
        <v>40.679630769230776</v>
      </c>
      <c r="I6" s="62">
        <f>ProductionSequence!P6</f>
        <v>290.67963076923076</v>
      </c>
      <c r="J6" s="64"/>
    </row>
    <row r="7" spans="1:10" ht="12.75">
      <c r="A7" s="65" t="s">
        <v>49</v>
      </c>
      <c r="B7" s="66"/>
      <c r="C7" s="66"/>
      <c r="D7" s="66"/>
      <c r="E7" s="66"/>
      <c r="F7" s="70">
        <f>ProductionSequence!H7</f>
        <v>0</v>
      </c>
      <c r="G7" s="70">
        <f>ProductionSequence!L7</f>
        <v>250</v>
      </c>
      <c r="H7" s="70">
        <f>ProductionSequence!O7</f>
        <v>40.679630769230776</v>
      </c>
      <c r="I7" s="70">
        <f>ProductionSequence!P7</f>
        <v>290.67963076923076</v>
      </c>
      <c r="J7" s="64"/>
    </row>
    <row r="8" spans="1:10" ht="12.75">
      <c r="A8" s="61" t="s">
        <v>52</v>
      </c>
      <c r="B8" s="61"/>
      <c r="C8" s="61"/>
      <c r="D8" s="61"/>
      <c r="E8" s="61"/>
      <c r="F8" s="62" t="s">
        <v>2</v>
      </c>
      <c r="G8" s="62" t="s">
        <v>2</v>
      </c>
      <c r="H8" s="62" t="s">
        <v>2</v>
      </c>
      <c r="I8" s="62" t="s">
        <v>2</v>
      </c>
      <c r="J8" s="61"/>
    </row>
    <row r="9" spans="1:10" ht="12.75">
      <c r="A9" s="61"/>
      <c r="B9" s="61" t="s">
        <v>20</v>
      </c>
      <c r="C9" s="61"/>
      <c r="D9" s="61"/>
      <c r="E9" s="61"/>
      <c r="F9" s="62">
        <f>ProductionSequence!H9</f>
        <v>16.720666872800003</v>
      </c>
      <c r="G9" s="62">
        <f>ProductionSequence!L9</f>
        <v>0</v>
      </c>
      <c r="H9" s="62">
        <f>ProductionSequence!O9</f>
        <v>11.186898461538464</v>
      </c>
      <c r="I9" s="62">
        <f>ProductionSequence!P9</f>
        <v>27.907565334338464</v>
      </c>
      <c r="J9" s="64"/>
    </row>
    <row r="10" spans="1:10" ht="12.75">
      <c r="A10" s="61"/>
      <c r="B10" s="61" t="s">
        <v>21</v>
      </c>
      <c r="C10" s="61"/>
      <c r="D10" s="61"/>
      <c r="E10" s="61"/>
      <c r="F10" s="62">
        <f>ProductionSequence!H10</f>
        <v>8.827859836400002</v>
      </c>
      <c r="G10" s="62">
        <f>ProductionSequence!L10</f>
        <v>0</v>
      </c>
      <c r="H10" s="62">
        <f>ProductionSequence!O10</f>
        <v>5.593449230769232</v>
      </c>
      <c r="I10" s="62">
        <f>ProductionSequence!P10</f>
        <v>14.421309067169233</v>
      </c>
      <c r="J10" s="64"/>
    </row>
    <row r="11" spans="1:10" ht="12.75">
      <c r="A11" s="61"/>
      <c r="B11" s="61" t="s">
        <v>246</v>
      </c>
      <c r="C11" s="61"/>
      <c r="D11" s="61"/>
      <c r="E11" s="61"/>
      <c r="F11" s="62">
        <f>ProductionSequence!H11</f>
        <v>20.290581372000002</v>
      </c>
      <c r="G11" s="62">
        <f>ProductionSequence!L11</f>
        <v>0</v>
      </c>
      <c r="H11" s="62">
        <f>ProductionSequence!O11</f>
        <v>15.254861538461538</v>
      </c>
      <c r="I11" s="62">
        <f>ProductionSequence!P11</f>
        <v>35.54544291046154</v>
      </c>
      <c r="J11" s="64"/>
    </row>
    <row r="12" spans="1:10" ht="12.75">
      <c r="A12" s="65" t="s">
        <v>54</v>
      </c>
      <c r="B12" s="66"/>
      <c r="C12" s="66"/>
      <c r="D12" s="66"/>
      <c r="E12" s="66"/>
      <c r="F12" s="70">
        <f>ProductionSequence!H12</f>
        <v>45.83910808120001</v>
      </c>
      <c r="G12" s="70">
        <f>ProductionSequence!L12</f>
        <v>0</v>
      </c>
      <c r="H12" s="70">
        <f>ProductionSequence!O12</f>
        <v>32.03520923076923</v>
      </c>
      <c r="I12" s="70">
        <f>ProductionSequence!P12</f>
        <v>77.87431731196924</v>
      </c>
      <c r="J12" s="64"/>
    </row>
    <row r="13" spans="1:10" ht="12.75">
      <c r="A13" s="61" t="s">
        <v>42</v>
      </c>
      <c r="B13" s="61"/>
      <c r="C13" s="61"/>
      <c r="D13" s="61"/>
      <c r="E13" s="61"/>
      <c r="F13" s="62" t="s">
        <v>2</v>
      </c>
      <c r="G13" s="62" t="s">
        <v>2</v>
      </c>
      <c r="H13" s="62" t="s">
        <v>2</v>
      </c>
      <c r="I13" s="62" t="s">
        <v>2</v>
      </c>
      <c r="J13" s="61"/>
    </row>
    <row r="14" spans="1:10" ht="12.75">
      <c r="A14" s="61"/>
      <c r="B14" s="31" t="s">
        <v>248</v>
      </c>
      <c r="C14" s="31"/>
      <c r="D14" s="31"/>
      <c r="E14" s="61"/>
      <c r="F14" s="62">
        <f>ProductionSequence!H14+ProductionSequence!H15</f>
        <v>10.528900686</v>
      </c>
      <c r="G14" s="62">
        <f>ProductionSequence!L14+ProductionSequence!L15</f>
        <v>127.50000000000001</v>
      </c>
      <c r="H14" s="62">
        <f>ProductionSequence!O14+ProductionSequence!O15</f>
        <v>7.627430769230769</v>
      </c>
      <c r="I14" s="62">
        <f>ProductionSequence!P14+ProductionSequence!P15</f>
        <v>145.65633145523077</v>
      </c>
      <c r="J14" s="63"/>
    </row>
    <row r="15" spans="1:10" ht="12.75">
      <c r="A15" s="61"/>
      <c r="B15" s="31" t="s">
        <v>252</v>
      </c>
      <c r="C15" s="263"/>
      <c r="D15" s="263"/>
      <c r="E15" s="61"/>
      <c r="F15" s="62">
        <f>ProductionSequence!H16</f>
        <v>12.0795517986</v>
      </c>
      <c r="G15" s="62">
        <f>ProductionSequence!L16</f>
        <v>0</v>
      </c>
      <c r="H15" s="62">
        <f>ProductionSequence!O16</f>
        <v>84.74923076923078</v>
      </c>
      <c r="I15" s="62">
        <f>ProductionSequence!P16</f>
        <v>96.82878256783079</v>
      </c>
      <c r="J15" s="64"/>
    </row>
    <row r="16" spans="1:10" ht="12.75">
      <c r="A16" s="61"/>
      <c r="B16" s="31" t="s">
        <v>254</v>
      </c>
      <c r="C16" s="263"/>
      <c r="D16" s="263"/>
      <c r="E16" s="61"/>
      <c r="F16" s="62">
        <f>ProductionSequence!H17+ProductionSequence!H18+ProductionSequence!H19+ProductionSequence!H20</f>
        <v>204.905043744</v>
      </c>
      <c r="G16" s="62">
        <f>ProductionSequence!L17+ProductionSequence!L18+ProductionSequence!L19+ProductionSequence!L20</f>
        <v>990</v>
      </c>
      <c r="H16" s="62">
        <f>ProductionSequence!O17+ProductionSequence!O18+ProductionSequence!O19+ProductionSequence!O20</f>
        <v>30.509723076923077</v>
      </c>
      <c r="I16" s="62">
        <f>ProductionSequence!P17+ProductionSequence!P18+ProductionSequence!P19+ProductionSequence!P20</f>
        <v>1225.414766820923</v>
      </c>
      <c r="J16" s="64"/>
    </row>
    <row r="17" spans="1:10" ht="12.75">
      <c r="A17" s="65" t="s">
        <v>43</v>
      </c>
      <c r="B17" s="66"/>
      <c r="C17" s="66"/>
      <c r="D17" s="66"/>
      <c r="E17" s="66"/>
      <c r="F17" s="70">
        <f>ProductionSequence!H21</f>
        <v>227.51349622860002</v>
      </c>
      <c r="G17" s="70">
        <f>ProductionSequence!L21</f>
        <v>1117.5</v>
      </c>
      <c r="H17" s="70">
        <f>ProductionSequence!O21</f>
        <v>122.88638461538463</v>
      </c>
      <c r="I17" s="70">
        <f>ProductionSequence!P21</f>
        <v>1467.8998808439846</v>
      </c>
      <c r="J17" s="64"/>
    </row>
    <row r="18" spans="1:10" ht="12.75">
      <c r="A18" s="61" t="s">
        <v>18</v>
      </c>
      <c r="B18" s="61"/>
      <c r="C18" s="61"/>
      <c r="D18" s="61"/>
      <c r="E18" s="61"/>
      <c r="F18" s="62" t="s">
        <v>2</v>
      </c>
      <c r="G18" s="62" t="s">
        <v>2</v>
      </c>
      <c r="H18" s="62" t="s">
        <v>2</v>
      </c>
      <c r="I18" s="62" t="s">
        <v>2</v>
      </c>
      <c r="J18" s="61"/>
    </row>
    <row r="19" spans="1:10" ht="12.75">
      <c r="A19" s="61"/>
      <c r="B19" s="31" t="s">
        <v>257</v>
      </c>
      <c r="C19" s="31"/>
      <c r="D19" s="31"/>
      <c r="E19" s="61"/>
      <c r="F19" s="62">
        <f>ProductionSequence!H23</f>
        <v>0</v>
      </c>
      <c r="G19" s="62">
        <f>ProductionSequence!L23</f>
        <v>550</v>
      </c>
      <c r="H19" s="62">
        <f>ProductionSequence!O23</f>
        <v>8.474923076923078</v>
      </c>
      <c r="I19" s="62">
        <f>ProductionSequence!P23</f>
        <v>558.4749230769231</v>
      </c>
      <c r="J19" s="63"/>
    </row>
    <row r="20" spans="1:10" ht="12.75">
      <c r="A20" s="61"/>
      <c r="B20" s="31" t="s">
        <v>391</v>
      </c>
      <c r="C20" s="31"/>
      <c r="D20" s="31"/>
      <c r="E20" s="61"/>
      <c r="F20" s="62">
        <f>ProductionSequence!H24+ProductionSequence!H25</f>
        <v>0.11018001333333333</v>
      </c>
      <c r="G20" s="62">
        <f>ProductionSequence!L24+ProductionSequence!L25</f>
        <v>0.83</v>
      </c>
      <c r="H20" s="62">
        <f>ProductionSequence!O24+ProductionSequence!O25</f>
        <v>8.474923076923078</v>
      </c>
      <c r="I20" s="62">
        <f>ProductionSequence!P24+ProductionSequence!P25</f>
        <v>9.415103090256412</v>
      </c>
      <c r="J20" s="64"/>
    </row>
    <row r="21" spans="1:10" ht="12.75">
      <c r="A21" s="61"/>
      <c r="B21" s="31" t="s">
        <v>389</v>
      </c>
      <c r="C21" s="263"/>
      <c r="D21" s="263"/>
      <c r="E21" s="61"/>
      <c r="F21" s="62">
        <f>ProductionSequence!H26</f>
        <v>53.462136992000005</v>
      </c>
      <c r="G21" s="62">
        <f>ProductionSequence!L26</f>
        <v>0</v>
      </c>
      <c r="H21" s="62">
        <f>ProductionSequence!O26</f>
        <v>40.679630769230776</v>
      </c>
      <c r="I21" s="62">
        <f>ProductionSequence!P26</f>
        <v>94.14176776123078</v>
      </c>
      <c r="J21" s="64"/>
    </row>
    <row r="22" spans="1:10" ht="12.75">
      <c r="A22" s="61"/>
      <c r="B22" s="31" t="s">
        <v>264</v>
      </c>
      <c r="C22" s="263"/>
      <c r="D22" s="263"/>
      <c r="E22" s="61"/>
      <c r="F22" s="62">
        <f>ProductionSequence!H27</f>
        <v>0</v>
      </c>
      <c r="G22" s="62">
        <f>ProductionSequence!L27</f>
        <v>11</v>
      </c>
      <c r="H22" s="62">
        <f>ProductionSequence!O27</f>
        <v>8.474923076923078</v>
      </c>
      <c r="I22" s="62">
        <f>ProductionSequence!P27</f>
        <v>19.474923076923076</v>
      </c>
      <c r="J22" s="64"/>
    </row>
    <row r="23" spans="1:10" ht="12.75">
      <c r="A23" s="61"/>
      <c r="B23" s="36" t="s">
        <v>261</v>
      </c>
      <c r="C23" s="36"/>
      <c r="D23" s="34"/>
      <c r="E23" s="61"/>
      <c r="F23" s="62">
        <f>ProductionSequence!H28+ProductionSequence!H29+ProductionSequence!H30</f>
        <v>580.7866549866667</v>
      </c>
      <c r="G23" s="62">
        <f>ProductionSequence!L28+ProductionSequence!L29+ProductionSequence!L30</f>
        <v>210.59999999999997</v>
      </c>
      <c r="H23" s="62">
        <f>ProductionSequence!O28+ProductionSequence!O29+ProductionSequence!O30</f>
        <v>525.4452307692309</v>
      </c>
      <c r="I23" s="62">
        <f>ProductionSequence!P28+ProductionSequence!P29+ProductionSequence!P30</f>
        <v>1316.8318857558975</v>
      </c>
      <c r="J23" s="64"/>
    </row>
    <row r="24" spans="1:10" ht="12.75">
      <c r="A24" s="61"/>
      <c r="B24" s="36" t="s">
        <v>270</v>
      </c>
      <c r="C24" s="36"/>
      <c r="D24" s="34"/>
      <c r="E24" s="61"/>
      <c r="F24" s="62">
        <f>ProductionSequence!H31</f>
        <v>0</v>
      </c>
      <c r="G24" s="62">
        <f>ProductionSequence!L31</f>
        <v>550</v>
      </c>
      <c r="H24" s="62">
        <f>ProductionSequence!O31</f>
        <v>52.5</v>
      </c>
      <c r="I24" s="62">
        <f>ProductionSequence!P31</f>
        <v>602.5</v>
      </c>
      <c r="J24" s="64"/>
    </row>
    <row r="25" spans="1:10" ht="12.75">
      <c r="A25" s="61"/>
      <c r="B25" s="36" t="s">
        <v>268</v>
      </c>
      <c r="C25" s="36"/>
      <c r="D25" s="34"/>
      <c r="E25" s="61"/>
      <c r="F25" s="62">
        <f>ProductionSequence!H32</f>
        <v>0</v>
      </c>
      <c r="G25" s="62">
        <f>ProductionSequence!L32</f>
        <v>9.899999999999999</v>
      </c>
      <c r="H25" s="62">
        <f>ProductionSequence!O32</f>
        <v>34.8</v>
      </c>
      <c r="I25" s="62">
        <f>ProductionSequence!P32</f>
        <v>44.699999999999996</v>
      </c>
      <c r="J25" s="64"/>
    </row>
    <row r="26" spans="1:10" ht="12.75">
      <c r="A26" s="61"/>
      <c r="B26" s="36" t="s">
        <v>269</v>
      </c>
      <c r="C26" s="36"/>
      <c r="D26" s="34"/>
      <c r="E26" s="61"/>
      <c r="F26" s="62">
        <f>ProductionSequence!H33</f>
        <v>0</v>
      </c>
      <c r="G26" s="62">
        <f>ProductionSequence!L33</f>
        <v>0</v>
      </c>
      <c r="H26" s="62">
        <f>ProductionSequence!O33</f>
        <v>47.85</v>
      </c>
      <c r="I26" s="62">
        <f>ProductionSequence!P33</f>
        <v>47.85</v>
      </c>
      <c r="J26" s="64"/>
    </row>
    <row r="27" spans="1:10" ht="12.75">
      <c r="A27" s="61"/>
      <c r="B27" s="36" t="s">
        <v>390</v>
      </c>
      <c r="C27" s="36"/>
      <c r="D27" s="34"/>
      <c r="E27" s="61"/>
      <c r="F27" s="62">
        <f>ProductionSequence!H34+ProductionSequence!H35+ProductionSequence!H36+ProductionSequence!H37+ProductionSequence!H38+ProductionSequence!H39+ProductionSequence!H40+ProductionSequence!H41+ProductionSequence!H42</f>
        <v>38.84564254560001</v>
      </c>
      <c r="G27" s="62">
        <f>ProductionSequence!L34+ProductionSequence!L35+ProductionSequence!L36+ProductionSequence!L37+ProductionSequence!L38+ProductionSequence!L39+ProductionSequence!L40+ProductionSequence!L41+ProductionSequence!L42</f>
        <v>266.4325</v>
      </c>
      <c r="H27" s="62">
        <f>ProductionSequence!O34+ProductionSequence!O35+ProductionSequence!O36+ProductionSequence!O37+ProductionSequence!O38+ProductionSequence!O39+ProductionSequence!O40+ProductionSequence!O41+ProductionSequence!O42</f>
        <v>22.373796923076927</v>
      </c>
      <c r="I27" s="62">
        <f>ProductionSequence!P34+ProductionSequence!P35+ProductionSequence!P36+ProductionSequence!P37+ProductionSequence!P38+ProductionSequence!P39+ProductionSequence!P40+ProductionSequence!P41+ProductionSequence!P42</f>
        <v>327.6519394686769</v>
      </c>
      <c r="J27" s="64"/>
    </row>
    <row r="28" spans="1:10" ht="12.75">
      <c r="A28" s="61"/>
      <c r="B28" s="36" t="s">
        <v>280</v>
      </c>
      <c r="C28" s="36"/>
      <c r="D28" s="34"/>
      <c r="E28" s="61"/>
      <c r="F28" s="62">
        <f>ProductionSequence!H43+ProductionSequence!H44+ProductionSequence!H45</f>
        <v>7.746274702650001</v>
      </c>
      <c r="G28" s="62">
        <f>ProductionSequence!L43+ProductionSequence!L44+ProductionSequence!L45</f>
        <v>13.775</v>
      </c>
      <c r="H28" s="62">
        <f>ProductionSequence!O43+ProductionSequence!O44+ProductionSequence!O45</f>
        <v>5.593449230769232</v>
      </c>
      <c r="I28" s="62">
        <f>ProductionSequence!P43+ProductionSequence!P44+ProductionSequence!P45</f>
        <v>27.114723933419235</v>
      </c>
      <c r="J28" s="64"/>
    </row>
    <row r="29" spans="1:10" ht="12.75">
      <c r="A29" s="65" t="s">
        <v>19</v>
      </c>
      <c r="B29" s="66"/>
      <c r="C29" s="66"/>
      <c r="D29" s="66"/>
      <c r="E29" s="66"/>
      <c r="F29" s="70">
        <f>ProductionSequence!H46</f>
        <v>680.95088924025</v>
      </c>
      <c r="G29" s="70">
        <f>ProductionSequence!L46</f>
        <v>1612.5375000000004</v>
      </c>
      <c r="H29" s="70">
        <f>ProductionSequence!O46</f>
        <v>754.6668769230771</v>
      </c>
      <c r="I29" s="70">
        <f>ProductionSequence!P46</f>
        <v>3048.1552661633273</v>
      </c>
      <c r="J29" s="64"/>
    </row>
    <row r="30" spans="1:10" ht="12.75">
      <c r="A30" s="61" t="s">
        <v>56</v>
      </c>
      <c r="B30" s="36" t="s">
        <v>2</v>
      </c>
      <c r="C30" s="36" t="s">
        <v>2</v>
      </c>
      <c r="D30" s="34"/>
      <c r="E30" s="61"/>
      <c r="F30" s="62"/>
      <c r="G30" s="62"/>
      <c r="H30" s="62"/>
      <c r="I30" s="62"/>
      <c r="J30" s="64"/>
    </row>
    <row r="31" spans="1:10" ht="12.75">
      <c r="A31" s="61"/>
      <c r="B31" s="36" t="s">
        <v>261</v>
      </c>
      <c r="C31" s="36"/>
      <c r="D31" s="34"/>
      <c r="E31" s="61"/>
      <c r="F31" s="62">
        <f>ProductionSequence!H48+ProductionSequence!H49+ProductionSequence!H50</f>
        <v>562.0516016</v>
      </c>
      <c r="G31" s="62">
        <f>ProductionSequence!L48+ProductionSequence!L49+ProductionSequence!L50</f>
        <v>210.59999999999997</v>
      </c>
      <c r="H31" s="62">
        <f>ProductionSequence!O48+ProductionSequence!O49+ProductionSequence!O50</f>
        <v>508.4953846153847</v>
      </c>
      <c r="I31" s="62">
        <f>ProductionSequence!P48+ProductionSequence!P49+ProductionSequence!P50</f>
        <v>1281.1469862153847</v>
      </c>
      <c r="J31" s="64"/>
    </row>
    <row r="32" spans="1:10" ht="12.75">
      <c r="A32" s="61"/>
      <c r="B32" s="36" t="s">
        <v>390</v>
      </c>
      <c r="C32" s="36"/>
      <c r="D32" s="34"/>
      <c r="E32" s="61"/>
      <c r="F32" s="62">
        <f>ProductionSequence!H51+ProductionSequence!H52+ProductionSequence!H53+ProductionSequence!H54+ProductionSequence!H55+ProductionSequence!H56+ProductionSequence!H57+ProductionSequence!H58</f>
        <v>38.84564254560001</v>
      </c>
      <c r="G32" s="62">
        <f>ProductionSequence!L51+ProductionSequence!L52+ProductionSequence!L53+ProductionSequence!L54+ProductionSequence!L55+ProductionSequence!L56+ProductionSequence!L57+ProductionSequence!L58</f>
        <v>312.05</v>
      </c>
      <c r="H32" s="62">
        <f>ProductionSequence!O51+ProductionSequence!O52+ProductionSequence!O53+ProductionSequence!O54+ProductionSequence!O55+ProductionSequence!O56+ProductionSequence!O57+ProductionSequence!O58</f>
        <v>22.373796923076927</v>
      </c>
      <c r="I32" s="62">
        <f>ProductionSequence!P51+ProductionSequence!P52+ProductionSequence!P53+ProductionSequence!P54+ProductionSequence!P55+ProductionSequence!P56+ProductionSequence!P57+ProductionSequence!P58</f>
        <v>373.2694394686769</v>
      </c>
      <c r="J32" s="64"/>
    </row>
    <row r="33" spans="1:10" ht="12.75">
      <c r="A33" s="61"/>
      <c r="B33" s="36" t="s">
        <v>280</v>
      </c>
      <c r="C33" s="36"/>
      <c r="D33" s="34"/>
      <c r="E33" s="61"/>
      <c r="F33" s="62">
        <f>ProductionSequence!H59+ProductionSequence!H60+ProductionSequence!H61</f>
        <v>7.746274702650001</v>
      </c>
      <c r="G33" s="62">
        <f>ProductionSequence!L59+ProductionSequence!L60+ProductionSequence!L61</f>
        <v>17.744999999999997</v>
      </c>
      <c r="H33" s="62">
        <f>ProductionSequence!O59+ProductionSequence!O60+ProductionSequence!O61</f>
        <v>5.593449230769232</v>
      </c>
      <c r="I33" s="62">
        <f>ProductionSequence!P59+ProductionSequence!P60+ProductionSequence!P61</f>
        <v>31.084723933419234</v>
      </c>
      <c r="J33" s="64"/>
    </row>
    <row r="34" spans="1:10" ht="12.75">
      <c r="A34" s="65" t="s">
        <v>57</v>
      </c>
      <c r="B34" s="66"/>
      <c r="C34" s="66"/>
      <c r="D34" s="66"/>
      <c r="E34" s="66"/>
      <c r="F34" s="70">
        <f>ProductionSequence!H62</f>
        <v>608.64351884825</v>
      </c>
      <c r="G34" s="70">
        <f>ProductionSequence!L62</f>
        <v>540.395</v>
      </c>
      <c r="H34" s="70">
        <f>ProductionSequence!O62</f>
        <v>536.4626307692308</v>
      </c>
      <c r="I34" s="70">
        <f>ProductionSequence!P62</f>
        <v>1685.5011496174807</v>
      </c>
      <c r="J34" s="32"/>
    </row>
    <row r="35" spans="1:10" ht="12.75">
      <c r="A35" s="61" t="s">
        <v>58</v>
      </c>
      <c r="B35" s="61"/>
      <c r="C35" s="61"/>
      <c r="D35" s="61"/>
      <c r="E35" s="61"/>
      <c r="F35" s="62" t="s">
        <v>2</v>
      </c>
      <c r="G35" s="62" t="s">
        <v>2</v>
      </c>
      <c r="H35" s="62" t="s">
        <v>2</v>
      </c>
      <c r="I35" s="62" t="s">
        <v>2</v>
      </c>
      <c r="J35" s="61"/>
    </row>
    <row r="36" spans="1:10" ht="12.75">
      <c r="A36" s="61"/>
      <c r="B36" s="36" t="s">
        <v>261</v>
      </c>
      <c r="C36" s="36"/>
      <c r="D36" s="34"/>
      <c r="E36" s="61"/>
      <c r="F36" s="62">
        <f>ProductionSequence!H64+ProductionSequence!H65+ProductionSequence!H66</f>
        <v>580.7866549866667</v>
      </c>
      <c r="G36" s="62">
        <f>ProductionSequence!L64+ProductionSequence!L65+ProductionSequence!L66</f>
        <v>210.59999999999997</v>
      </c>
      <c r="H36" s="62">
        <f>ProductionSequence!O64+ProductionSequence!O65+ProductionSequence!O66</f>
        <v>525.4452307692309</v>
      </c>
      <c r="I36" s="62">
        <f>ProductionSequence!P64+ProductionSequence!P65+ProductionSequence!P66</f>
        <v>1316.8318857558975</v>
      </c>
      <c r="J36" s="63"/>
    </row>
    <row r="37" spans="1:10" ht="12.75">
      <c r="A37" s="61"/>
      <c r="B37" s="36" t="s">
        <v>390</v>
      </c>
      <c r="C37" s="36"/>
      <c r="D37" s="34"/>
      <c r="E37" s="61"/>
      <c r="F37" s="62">
        <f>ProductionSequence!H67+ProductionSequence!H68+ProductionSequence!H69+ProductionSequence!H70+ProductionSequence!H71+ProductionSequence!H72+ProductionSequence!H73</f>
        <v>38.84564254560001</v>
      </c>
      <c r="G37" s="62">
        <f>ProductionSequence!L67+ProductionSequence!L68+ProductionSequence!L69+ProductionSequence!L70+ProductionSequence!L71+ProductionSequence!L72+ProductionSequence!L73</f>
        <v>150.545</v>
      </c>
      <c r="H37" s="62">
        <f>ProductionSequence!O67+ProductionSequence!O68+ProductionSequence!O69+ProductionSequence!O70+ProductionSequence!O71+ProductionSequence!O72+ProductionSequence!O73</f>
        <v>22.373796923076927</v>
      </c>
      <c r="I37" s="62">
        <f>ProductionSequence!P67+ProductionSequence!P68+ProductionSequence!P69+ProductionSequence!P70+ProductionSequence!P71+ProductionSequence!P72+ProductionSequence!P73</f>
        <v>211.76443946867693</v>
      </c>
      <c r="J37" s="64"/>
    </row>
    <row r="38" spans="1:10" ht="12.75">
      <c r="A38" s="61"/>
      <c r="B38" s="36" t="s">
        <v>204</v>
      </c>
      <c r="C38" s="36"/>
      <c r="D38" s="34"/>
      <c r="E38" s="61"/>
      <c r="F38" s="62">
        <f>ProductionSequence!H74</f>
        <v>0</v>
      </c>
      <c r="G38" s="62">
        <f>ProductionSequence!L74</f>
        <v>0</v>
      </c>
      <c r="H38" s="62">
        <f>ProductionSequence!O74</f>
        <v>9278.016</v>
      </c>
      <c r="I38" s="62">
        <f>ProductionSequence!P74</f>
        <v>9278.016</v>
      </c>
      <c r="J38" s="64"/>
    </row>
    <row r="39" spans="1:10" ht="12.75">
      <c r="A39" s="65" t="s">
        <v>59</v>
      </c>
      <c r="B39" s="66"/>
      <c r="C39" s="66"/>
      <c r="D39" s="66"/>
      <c r="E39" s="66"/>
      <c r="F39" s="70">
        <f>ProductionSequence!H75</f>
        <v>619.6322975322666</v>
      </c>
      <c r="G39" s="70">
        <f>ProductionSequence!L75</f>
        <v>361.145</v>
      </c>
      <c r="H39" s="70">
        <f>ProductionSequence!O75</f>
        <v>9825.835027692308</v>
      </c>
      <c r="I39" s="70">
        <f>ProductionSequence!P75</f>
        <v>10806.612325224574</v>
      </c>
      <c r="J39" s="64"/>
    </row>
    <row r="40" spans="1:10" ht="12.75">
      <c r="A40" s="61" t="s">
        <v>17</v>
      </c>
      <c r="B40" s="61"/>
      <c r="C40" s="61"/>
      <c r="D40" s="61"/>
      <c r="E40" s="61"/>
      <c r="F40" s="62" t="s">
        <v>2</v>
      </c>
      <c r="G40" s="62" t="s">
        <v>2</v>
      </c>
      <c r="H40" s="62" t="s">
        <v>2</v>
      </c>
      <c r="I40" s="62" t="s">
        <v>2</v>
      </c>
      <c r="J40" s="61"/>
    </row>
    <row r="41" spans="1:10" ht="12.75">
      <c r="A41" s="61"/>
      <c r="B41" s="31" t="s">
        <v>202</v>
      </c>
      <c r="C41" s="61"/>
      <c r="D41" s="61"/>
      <c r="E41" s="61"/>
      <c r="F41" s="62">
        <f>ProductionSequence!H77</f>
        <v>46.64168621066667</v>
      </c>
      <c r="G41" s="62">
        <f>ProductionSequence!L77</f>
        <v>0</v>
      </c>
      <c r="H41" s="62">
        <f>ProductionSequence!O77</f>
        <v>152.5486153846154</v>
      </c>
      <c r="I41" s="62">
        <f>ProductionSequence!P77</f>
        <v>199.19030159528208</v>
      </c>
      <c r="J41" s="63"/>
    </row>
    <row r="42" spans="1:10" ht="12.75">
      <c r="A42" s="61"/>
      <c r="B42" s="31" t="s">
        <v>307</v>
      </c>
      <c r="C42" s="61"/>
      <c r="D42" s="61"/>
      <c r="E42" s="61"/>
      <c r="F42" s="62">
        <f>ProductionSequence!H78</f>
        <v>16.150000000000002</v>
      </c>
      <c r="G42" s="62">
        <f>ProductionSequence!L78</f>
        <v>0</v>
      </c>
      <c r="H42" s="62">
        <f>ProductionSequence!O78</f>
        <v>10.169907692307694</v>
      </c>
      <c r="I42" s="62">
        <f>ProductionSequence!P78</f>
        <v>26.319907692307694</v>
      </c>
      <c r="J42" s="64"/>
    </row>
    <row r="43" spans="1:10" ht="12.75">
      <c r="A43" s="61"/>
      <c r="B43" s="31" t="s">
        <v>308</v>
      </c>
      <c r="C43" s="61"/>
      <c r="D43" s="61"/>
      <c r="E43" s="61"/>
      <c r="F43" s="62">
        <f>ProductionSequence!H79</f>
        <v>16.050654248</v>
      </c>
      <c r="G43" s="62">
        <f>ProductionSequence!L79</f>
        <v>0</v>
      </c>
      <c r="H43" s="62">
        <f>ProductionSequence!O79</f>
        <v>10.169907692307694</v>
      </c>
      <c r="I43" s="62">
        <f>ProductionSequence!P79</f>
        <v>26.220561940307697</v>
      </c>
      <c r="J43" s="64"/>
    </row>
    <row r="44" spans="1:10" ht="12.75">
      <c r="A44" s="61"/>
      <c r="B44" s="31" t="s">
        <v>309</v>
      </c>
      <c r="C44" s="61"/>
      <c r="D44" s="61"/>
      <c r="E44" s="61"/>
      <c r="F44" s="62">
        <f>ProductionSequence!H80</f>
        <v>0</v>
      </c>
      <c r="G44" s="62">
        <f>ProductionSequence!L80</f>
        <v>55</v>
      </c>
      <c r="H44" s="62">
        <f>ProductionSequence!O80</f>
        <v>0</v>
      </c>
      <c r="I44" s="62">
        <f>ProductionSequence!P80</f>
        <v>55</v>
      </c>
      <c r="J44" s="64"/>
    </row>
    <row r="45" spans="1:10" ht="12.75">
      <c r="A45" s="61"/>
      <c r="B45" s="31" t="s">
        <v>317</v>
      </c>
      <c r="C45" s="67"/>
      <c r="E45" s="61"/>
      <c r="F45" s="62">
        <f>ProductionSequence!H81</f>
        <v>16.989544748</v>
      </c>
      <c r="G45" s="62">
        <f>ProductionSequence!L81</f>
        <v>17</v>
      </c>
      <c r="H45" s="62">
        <f>ProductionSequence!O81</f>
        <v>10.169907692307694</v>
      </c>
      <c r="I45" s="62">
        <f>ProductionSequence!P81</f>
        <v>44.159452440307696</v>
      </c>
      <c r="J45" s="64"/>
    </row>
    <row r="46" spans="1:10" ht="12.75">
      <c r="A46" s="65" t="s">
        <v>23</v>
      </c>
      <c r="B46" s="66"/>
      <c r="C46" s="66"/>
      <c r="D46" s="66"/>
      <c r="E46" s="66"/>
      <c r="F46" s="70">
        <f>ProductionSequence!H82</f>
        <v>95.83188520666667</v>
      </c>
      <c r="G46" s="70">
        <f>ProductionSequence!L82</f>
        <v>72</v>
      </c>
      <c r="H46" s="70">
        <f>ProductionSequence!O82</f>
        <v>183.0583384615385</v>
      </c>
      <c r="I46" s="70">
        <f>ProductionSequence!P82</f>
        <v>350.8902236682051</v>
      </c>
      <c r="J46" s="64"/>
    </row>
    <row r="47" spans="1:10" ht="12.75">
      <c r="A47" s="61" t="s">
        <v>194</v>
      </c>
      <c r="B47" s="61"/>
      <c r="C47" s="61"/>
      <c r="D47" s="61"/>
      <c r="E47" s="61"/>
      <c r="F47" s="472"/>
      <c r="G47" s="472"/>
      <c r="H47" s="472"/>
      <c r="I47" s="472"/>
      <c r="J47" s="61"/>
    </row>
    <row r="48" spans="1:10" ht="12.75">
      <c r="A48" s="61"/>
      <c r="B48" s="61" t="s">
        <v>25</v>
      </c>
      <c r="C48" s="61"/>
      <c r="D48" s="61"/>
      <c r="E48" s="61"/>
      <c r="F48" s="62">
        <f>ProductionSequence!H84</f>
        <v>0</v>
      </c>
      <c r="G48" s="62">
        <f>ProductionSequence!L84</f>
        <v>16</v>
      </c>
      <c r="H48" s="62">
        <f>ProductionSequence!O84</f>
        <v>0</v>
      </c>
      <c r="I48" s="62">
        <f>ProductionSequence!P84</f>
        <v>16</v>
      </c>
      <c r="J48" s="63"/>
    </row>
    <row r="49" spans="1:10" ht="12.75">
      <c r="A49" s="61"/>
      <c r="B49" s="61" t="s">
        <v>27</v>
      </c>
      <c r="C49" s="61"/>
      <c r="D49" s="61"/>
      <c r="E49" s="61"/>
      <c r="F49" s="62">
        <f>ProductionSequence!H85</f>
        <v>0</v>
      </c>
      <c r="G49" s="62">
        <f>ProductionSequence!L85</f>
        <v>10</v>
      </c>
      <c r="H49" s="62">
        <f>ProductionSequence!O85</f>
        <v>0</v>
      </c>
      <c r="I49" s="62">
        <f>ProductionSequence!P85</f>
        <v>10</v>
      </c>
      <c r="J49" s="64"/>
    </row>
    <row r="50" spans="1:10" ht="12.75">
      <c r="A50" s="61"/>
      <c r="B50" s="61" t="s">
        <v>29</v>
      </c>
      <c r="C50" s="61"/>
      <c r="D50" s="61"/>
      <c r="E50" s="61"/>
      <c r="F50" s="62">
        <f>ProductionSequence!H86</f>
        <v>0</v>
      </c>
      <c r="G50" s="62">
        <f>ProductionSequence!L86</f>
        <v>100</v>
      </c>
      <c r="H50" s="62">
        <f>ProductionSequence!O86</f>
        <v>0</v>
      </c>
      <c r="I50" s="62">
        <f>ProductionSequence!P86</f>
        <v>100</v>
      </c>
      <c r="J50" s="64"/>
    </row>
    <row r="51" spans="1:10" ht="12.75">
      <c r="A51" s="61"/>
      <c r="B51" s="61" t="s">
        <v>31</v>
      </c>
      <c r="C51" s="61"/>
      <c r="D51" s="61"/>
      <c r="E51" s="61"/>
      <c r="F51" s="62">
        <f>ProductionSequence!H87</f>
        <v>0</v>
      </c>
      <c r="G51" s="62">
        <f>ProductionSequence!L87</f>
        <v>35</v>
      </c>
      <c r="H51" s="62">
        <f>ProductionSequence!O87</f>
        <v>0</v>
      </c>
      <c r="I51" s="62">
        <f>ProductionSequence!P87</f>
        <v>35</v>
      </c>
      <c r="J51" s="63"/>
    </row>
    <row r="52" spans="1:10" ht="12.75">
      <c r="A52" s="61"/>
      <c r="B52" s="61" t="s">
        <v>16</v>
      </c>
      <c r="C52" s="61"/>
      <c r="D52" s="61"/>
      <c r="E52" s="61"/>
      <c r="F52" s="62">
        <f>ProductionSequence!H88</f>
        <v>0</v>
      </c>
      <c r="G52" s="62">
        <f>ProductionSequence!L88</f>
        <v>40</v>
      </c>
      <c r="H52" s="62">
        <f>ProductionSequence!O88</f>
        <v>0</v>
      </c>
      <c r="I52" s="62">
        <f>ProductionSequence!P88</f>
        <v>40</v>
      </c>
      <c r="J52" s="63"/>
    </row>
    <row r="53" spans="1:10" ht="12.75">
      <c r="A53" s="61"/>
      <c r="B53" s="61" t="s">
        <v>196</v>
      </c>
      <c r="C53" s="61"/>
      <c r="D53" s="61"/>
      <c r="E53" s="61"/>
      <c r="F53" s="62">
        <f>ProductionSequence!H89</f>
        <v>0</v>
      </c>
      <c r="G53" s="62">
        <f>ProductionSequence!L89</f>
        <v>25</v>
      </c>
      <c r="H53" s="62">
        <f>ProductionSequence!O89</f>
        <v>0</v>
      </c>
      <c r="I53" s="62">
        <f>ProductionSequence!P89</f>
        <v>25</v>
      </c>
      <c r="J53" s="64"/>
    </row>
    <row r="54" spans="1:10" ht="12.75">
      <c r="A54" s="65" t="s">
        <v>195</v>
      </c>
      <c r="B54" s="66"/>
      <c r="C54" s="66"/>
      <c r="D54" s="66"/>
      <c r="E54" s="66"/>
      <c r="F54" s="70">
        <f>ProductionSequence!H90</f>
        <v>0</v>
      </c>
      <c r="G54" s="70">
        <f>ProductionSequence!L90</f>
        <v>226</v>
      </c>
      <c r="H54" s="70">
        <f>ProductionSequence!O90</f>
        <v>0</v>
      </c>
      <c r="I54" s="70">
        <f>ProductionSequence!P90</f>
        <v>226</v>
      </c>
      <c r="J54" s="64"/>
    </row>
    <row r="55" spans="1:10" ht="12.75">
      <c r="A55" s="61" t="s">
        <v>36</v>
      </c>
      <c r="B55" s="61"/>
      <c r="C55" s="61"/>
      <c r="D55" s="61"/>
      <c r="E55" s="61"/>
      <c r="F55" s="62" t="s">
        <v>2</v>
      </c>
      <c r="G55" s="62" t="s">
        <v>2</v>
      </c>
      <c r="H55" s="62" t="s">
        <v>2</v>
      </c>
      <c r="I55" s="62" t="s">
        <v>2</v>
      </c>
      <c r="J55" s="61"/>
    </row>
    <row r="56" spans="1:10" ht="12.75">
      <c r="A56" s="61"/>
      <c r="B56" s="61" t="s">
        <v>38</v>
      </c>
      <c r="C56" s="61"/>
      <c r="D56" s="61"/>
      <c r="E56" s="61"/>
      <c r="F56" s="62">
        <f>ProductionSequence!H92</f>
        <v>32.300000000000004</v>
      </c>
      <c r="G56" s="62">
        <f>ProductionSequence!L92</f>
        <v>0</v>
      </c>
      <c r="H56" s="62">
        <f>ProductionSequence!O92</f>
        <v>20.339815384615388</v>
      </c>
      <c r="I56" s="62">
        <f>ProductionSequence!P92</f>
        <v>52.63981538461539</v>
      </c>
      <c r="J56" s="63"/>
    </row>
    <row r="57" spans="1:10" ht="12.75">
      <c r="A57" s="61"/>
      <c r="B57" s="61" t="s">
        <v>39</v>
      </c>
      <c r="C57" s="61"/>
      <c r="D57" s="61"/>
      <c r="E57" s="61"/>
      <c r="F57" s="62">
        <f>ProductionSequence!H93</f>
        <v>0</v>
      </c>
      <c r="G57" s="62">
        <f>ProductionSequence!L93</f>
        <v>70</v>
      </c>
      <c r="H57" s="62">
        <f>ProductionSequence!O93</f>
        <v>0</v>
      </c>
      <c r="I57" s="62">
        <f>ProductionSequence!P93</f>
        <v>70</v>
      </c>
      <c r="J57" s="64"/>
    </row>
    <row r="58" spans="1:10" ht="12.75">
      <c r="A58" s="65" t="s">
        <v>40</v>
      </c>
      <c r="B58" s="66"/>
      <c r="C58" s="66"/>
      <c r="D58" s="66"/>
      <c r="E58" s="66"/>
      <c r="F58" s="70">
        <f>ProductionSequence!H94</f>
        <v>32.300000000000004</v>
      </c>
      <c r="G58" s="70">
        <f>ProductionSequence!L94</f>
        <v>70</v>
      </c>
      <c r="H58" s="70">
        <f>ProductionSequence!O94</f>
        <v>20.339815384615388</v>
      </c>
      <c r="I58" s="70">
        <f>ProductionSequence!P94</f>
        <v>122.63981538461539</v>
      </c>
      <c r="J58" s="64"/>
    </row>
    <row r="59" spans="1:10" ht="12.75">
      <c r="A59" s="61"/>
      <c r="B59" s="61"/>
      <c r="C59" s="61"/>
      <c r="D59" s="61"/>
      <c r="E59" s="61"/>
      <c r="J59" s="61"/>
    </row>
    <row r="60" spans="1:10" ht="12.75">
      <c r="A60" s="65" t="s">
        <v>328</v>
      </c>
      <c r="B60" s="66"/>
      <c r="C60" s="66"/>
      <c r="D60" s="66"/>
      <c r="E60" s="66"/>
      <c r="F60" s="70">
        <f>ProductionSequence!H95</f>
        <v>2310.711195137233</v>
      </c>
      <c r="G60" s="70">
        <f>ProductionSequence!L95</f>
        <v>4249.5775</v>
      </c>
      <c r="H60" s="70">
        <f>ProductionSequence!O95</f>
        <v>11515.963913846155</v>
      </c>
      <c r="I60" s="70">
        <f>ProductionSequence!P95</f>
        <v>18076.25260898339</v>
      </c>
      <c r="J60" s="63"/>
    </row>
    <row r="61" spans="1:10" ht="12.75">
      <c r="A61" s="61"/>
      <c r="B61" s="61"/>
      <c r="C61" s="61"/>
      <c r="D61" s="61"/>
      <c r="E61" s="61"/>
      <c r="J61" s="61"/>
    </row>
  </sheetData>
  <sheetProtection password="EB79" sheet="1" objects="1" scenarios="1" selectLockedCells="1" selectUnlockedCells="1"/>
  <mergeCells count="2">
    <mergeCell ref="A1:J1"/>
    <mergeCell ref="F47:I47"/>
  </mergeCells>
  <printOptions/>
  <pageMargins left="1" right="0" top="0.25" bottom="0.25" header="0.05" footer="0.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N22"/>
  <sheetViews>
    <sheetView showGridLines="0" zoomScalePageLayoutView="0" workbookViewId="0" topLeftCell="A1">
      <selection activeCell="A1" sqref="A1:I1"/>
    </sheetView>
  </sheetViews>
  <sheetFormatPr defaultColWidth="9.140625" defaultRowHeight="12.75"/>
  <cols>
    <col min="1" max="1" width="18.00390625" style="0" customWidth="1"/>
    <col min="2" max="2" width="13.57421875" style="0" customWidth="1"/>
    <col min="3" max="3" width="12.57421875" style="0" customWidth="1"/>
    <col min="4" max="5" width="10.8515625" style="0" customWidth="1"/>
    <col min="6" max="6" width="9.140625" style="0" customWidth="1"/>
    <col min="7" max="7" width="2.57421875" style="0" customWidth="1"/>
    <col min="8" max="8" width="14.7109375" style="0" customWidth="1"/>
    <col min="9" max="9" width="12.7109375" style="0" customWidth="1"/>
    <col min="10" max="10" width="20.7109375" style="0" customWidth="1"/>
    <col min="11" max="11" width="12.140625" style="0" bestFit="1" customWidth="1"/>
    <col min="12" max="12" width="10.57421875" style="0" bestFit="1" customWidth="1"/>
    <col min="13" max="13" width="3.57421875" style="0" customWidth="1"/>
    <col min="14" max="14" width="10.8515625" style="0" customWidth="1"/>
  </cols>
  <sheetData>
    <row r="1" spans="1:10" ht="12.75">
      <c r="A1" s="470" t="s">
        <v>329</v>
      </c>
      <c r="B1" s="470"/>
      <c r="C1" s="470"/>
      <c r="D1" s="470"/>
      <c r="E1" s="470"/>
      <c r="F1" s="470"/>
      <c r="G1" s="470"/>
      <c r="H1" s="470"/>
      <c r="I1" s="470"/>
      <c r="J1" s="364" t="s">
        <v>363</v>
      </c>
    </row>
    <row r="2" spans="1:14" ht="13.5" thickBot="1">
      <c r="A2" s="376"/>
      <c r="B2" s="376"/>
      <c r="C2" s="376"/>
      <c r="D2" s="376"/>
      <c r="E2" s="376"/>
      <c r="F2" s="376"/>
      <c r="G2" s="376"/>
      <c r="H2" s="376"/>
      <c r="I2" s="266"/>
      <c r="J2" s="374"/>
      <c r="K2" s="376"/>
      <c r="L2" s="376"/>
      <c r="M2" s="57"/>
      <c r="N2" s="57"/>
    </row>
    <row r="3" spans="1:14" ht="12.75">
      <c r="A3" s="371" t="s">
        <v>3</v>
      </c>
      <c r="B3" s="373" t="s">
        <v>63</v>
      </c>
      <c r="C3" s="373" t="s">
        <v>68</v>
      </c>
      <c r="D3" s="373" t="s">
        <v>65</v>
      </c>
      <c r="E3" s="373" t="s">
        <v>66</v>
      </c>
      <c r="F3" s="373" t="s">
        <v>341</v>
      </c>
      <c r="G3" s="373"/>
      <c r="H3" s="373" t="s">
        <v>192</v>
      </c>
      <c r="I3" s="266"/>
      <c r="J3" s="371" t="s">
        <v>3</v>
      </c>
      <c r="K3" s="373" t="s">
        <v>65</v>
      </c>
      <c r="L3" s="373" t="s">
        <v>341</v>
      </c>
      <c r="M3" s="71"/>
      <c r="N3" s="356" t="s">
        <v>197</v>
      </c>
    </row>
    <row r="4" spans="1:14" ht="13.5" thickBot="1">
      <c r="A4" s="374" t="s">
        <v>2</v>
      </c>
      <c r="B4" s="375" t="s">
        <v>115</v>
      </c>
      <c r="C4" s="375" t="s">
        <v>115</v>
      </c>
      <c r="D4" s="375" t="s">
        <v>115</v>
      </c>
      <c r="E4" s="375" t="s">
        <v>115</v>
      </c>
      <c r="F4" s="375" t="s">
        <v>66</v>
      </c>
      <c r="G4" s="375"/>
      <c r="H4" s="375" t="s">
        <v>115</v>
      </c>
      <c r="I4" s="365"/>
      <c r="J4" s="374" t="s">
        <v>2</v>
      </c>
      <c r="K4" s="375" t="s">
        <v>118</v>
      </c>
      <c r="L4" s="375" t="s">
        <v>66</v>
      </c>
      <c r="M4" s="57"/>
      <c r="N4" s="383" t="s">
        <v>198</v>
      </c>
    </row>
    <row r="5" spans="1:12" ht="12.75">
      <c r="A5" s="364"/>
      <c r="B5" s="473" t="s">
        <v>362</v>
      </c>
      <c r="C5" s="473"/>
      <c r="D5" s="473"/>
      <c r="E5" s="473"/>
      <c r="F5" s="266"/>
      <c r="G5" s="266"/>
      <c r="H5" s="266"/>
      <c r="I5" s="266"/>
      <c r="J5" s="364"/>
      <c r="K5" s="266"/>
      <c r="L5" s="266"/>
    </row>
    <row r="6" spans="1:14" ht="12.75">
      <c r="A6" s="266" t="s">
        <v>50</v>
      </c>
      <c r="B6" s="366">
        <v>0</v>
      </c>
      <c r="C6" s="366">
        <v>0</v>
      </c>
      <c r="D6" s="366">
        <v>0</v>
      </c>
      <c r="E6" s="366">
        <f>SUM(B6:D6)</f>
        <v>0</v>
      </c>
      <c r="F6" s="367">
        <f>E6/E$20</f>
        <v>0</v>
      </c>
      <c r="G6" s="367"/>
      <c r="H6" s="381"/>
      <c r="I6" s="266"/>
      <c r="J6" s="266" t="s">
        <v>50</v>
      </c>
      <c r="K6" s="366">
        <v>0</v>
      </c>
      <c r="L6" s="368">
        <f>K6/K$19</f>
        <v>0</v>
      </c>
      <c r="N6" s="38"/>
    </row>
    <row r="7" spans="1:14" ht="12.75">
      <c r="A7" s="266" t="s">
        <v>48</v>
      </c>
      <c r="B7" s="369">
        <f>ProductionSequence!H$7</f>
        <v>0</v>
      </c>
      <c r="C7" s="369">
        <f>ProductionSequence!L$7</f>
        <v>250</v>
      </c>
      <c r="D7" s="369">
        <f>ProductionSequence!O$7</f>
        <v>40.679630769230776</v>
      </c>
      <c r="E7" s="366">
        <f>SUM(B7:D7)</f>
        <v>290.67963076923076</v>
      </c>
      <c r="F7" s="367">
        <f aca="true" t="shared" si="0" ref="F7:F19">E7/E$20</f>
        <v>0.016080746217541304</v>
      </c>
      <c r="G7" s="367"/>
      <c r="H7" s="380"/>
      <c r="I7" s="266"/>
      <c r="J7" s="266" t="s">
        <v>48</v>
      </c>
      <c r="K7" s="369">
        <f>ProductionSequence!M$7</f>
        <v>4.8</v>
      </c>
      <c r="L7" s="368">
        <f aca="true" t="shared" si="1" ref="L7:L18">K7/K$19</f>
        <v>0.0013326699598422119</v>
      </c>
      <c r="N7" s="56"/>
    </row>
    <row r="8" spans="1:14" ht="12.75">
      <c r="A8" s="266" t="s">
        <v>52</v>
      </c>
      <c r="B8" s="369">
        <f>ProductionSequence!H$12</f>
        <v>45.83910808120001</v>
      </c>
      <c r="C8" s="369">
        <f>ProductionSequence!L$12</f>
        <v>0</v>
      </c>
      <c r="D8" s="369">
        <f>ProductionSequence!O$12</f>
        <v>32.03520923076923</v>
      </c>
      <c r="E8" s="366">
        <f aca="true" t="shared" si="2" ref="E8:E19">SUM(B8:D8)</f>
        <v>77.87431731196924</v>
      </c>
      <c r="F8" s="367">
        <f t="shared" si="0"/>
        <v>0.004308100743915688</v>
      </c>
      <c r="G8" s="367"/>
      <c r="H8" s="380"/>
      <c r="I8" s="266"/>
      <c r="J8" s="266" t="s">
        <v>52</v>
      </c>
      <c r="K8" s="369">
        <f>ProductionSequence!M$12</f>
        <v>3.78</v>
      </c>
      <c r="L8" s="368">
        <f t="shared" si="1"/>
        <v>0.0010494775933757418</v>
      </c>
      <c r="N8" s="56"/>
    </row>
    <row r="9" spans="1:14" ht="12.75">
      <c r="A9" s="266" t="s">
        <v>42</v>
      </c>
      <c r="B9" s="369">
        <f>ProductionSequence!H$21</f>
        <v>227.51349622860002</v>
      </c>
      <c r="C9" s="369">
        <f>ProductionSequence!L$21</f>
        <v>1117.5</v>
      </c>
      <c r="D9" s="369">
        <f>ProductionSequence!O$21</f>
        <v>122.88638461538463</v>
      </c>
      <c r="E9" s="366">
        <f t="shared" si="2"/>
        <v>1467.8998808439846</v>
      </c>
      <c r="F9" s="367">
        <f t="shared" si="0"/>
        <v>0.08120598403866516</v>
      </c>
      <c r="G9" s="367"/>
      <c r="H9" s="380"/>
      <c r="I9" s="266"/>
      <c r="J9" s="266" t="s">
        <v>42</v>
      </c>
      <c r="K9" s="369">
        <f>ProductionSequence!M$21</f>
        <v>14.5</v>
      </c>
      <c r="L9" s="368">
        <f t="shared" si="1"/>
        <v>0.004025773837023348</v>
      </c>
      <c r="N9" s="56"/>
    </row>
    <row r="10" spans="1:14" ht="12.75">
      <c r="A10" s="266" t="s">
        <v>18</v>
      </c>
      <c r="B10" s="369">
        <f>ProductionSequence!H$46</f>
        <v>680.95088924025</v>
      </c>
      <c r="C10" s="369">
        <f>ProductionSequence!L$46</f>
        <v>1612.5375000000004</v>
      </c>
      <c r="D10" s="369">
        <f>ProductionSequence!O$46</f>
        <v>754.6668769230771</v>
      </c>
      <c r="E10" s="366">
        <f t="shared" si="2"/>
        <v>3048.1552661633277</v>
      </c>
      <c r="F10" s="367">
        <f t="shared" si="0"/>
        <v>0.16862760949957517</v>
      </c>
      <c r="G10" s="367"/>
      <c r="H10" s="380"/>
      <c r="I10" s="266"/>
      <c r="J10" s="266" t="s">
        <v>18</v>
      </c>
      <c r="K10" s="369">
        <f>ProductionSequence!M$46</f>
        <v>334.1</v>
      </c>
      <c r="L10" s="368">
        <f t="shared" si="1"/>
        <v>0.0927593819965173</v>
      </c>
      <c r="N10" s="56"/>
    </row>
    <row r="11" spans="1:14" ht="12.75">
      <c r="A11" s="266" t="s">
        <v>56</v>
      </c>
      <c r="B11" s="369">
        <f>ProductionSequence!H$62</f>
        <v>608.64351884825</v>
      </c>
      <c r="C11" s="369">
        <f>ProductionSequence!L$62</f>
        <v>540.395</v>
      </c>
      <c r="D11" s="369">
        <f>ProductionSequence!O$62</f>
        <v>536.4626307692308</v>
      </c>
      <c r="E11" s="366">
        <f t="shared" si="2"/>
        <v>1685.501149617481</v>
      </c>
      <c r="F11" s="367">
        <f t="shared" si="0"/>
        <v>0.09324394751929027</v>
      </c>
      <c r="G11" s="367"/>
      <c r="H11" s="380"/>
      <c r="I11" s="266"/>
      <c r="J11" s="266" t="s">
        <v>56</v>
      </c>
      <c r="K11" s="369">
        <f>ProductionSequence!M$62</f>
        <v>63.3</v>
      </c>
      <c r="L11" s="368">
        <f t="shared" si="1"/>
        <v>0.01757458509541917</v>
      </c>
      <c r="N11" s="384"/>
    </row>
    <row r="12" spans="1:14" ht="12.75">
      <c r="A12" s="266" t="s">
        <v>58</v>
      </c>
      <c r="B12" s="369">
        <f>ProductionSequence!H$75</f>
        <v>619.6322975322666</v>
      </c>
      <c r="C12" s="369">
        <f>ProductionSequence!L$75</f>
        <v>361.145</v>
      </c>
      <c r="D12" s="369">
        <f>ProductionSequence!O$75</f>
        <v>9825.835027692308</v>
      </c>
      <c r="E12" s="366">
        <f t="shared" si="2"/>
        <v>10806.612325224574</v>
      </c>
      <c r="F12" s="367">
        <f t="shared" si="0"/>
        <v>0.5978347702362818</v>
      </c>
      <c r="G12" s="367"/>
      <c r="H12" s="380"/>
      <c r="I12" s="266"/>
      <c r="J12" s="266" t="s">
        <v>58</v>
      </c>
      <c r="K12" s="369">
        <f>ProductionSequence!M$75</f>
        <v>3157.312</v>
      </c>
      <c r="L12" s="368">
        <f t="shared" si="1"/>
        <v>0.8765947617186112</v>
      </c>
      <c r="N12" s="384"/>
    </row>
    <row r="13" spans="1:14" ht="12.75">
      <c r="A13" s="266" t="s">
        <v>60</v>
      </c>
      <c r="B13" s="369">
        <v>0</v>
      </c>
      <c r="C13" s="369">
        <v>0</v>
      </c>
      <c r="D13" s="369">
        <v>0</v>
      </c>
      <c r="E13" s="366">
        <f t="shared" si="2"/>
        <v>0</v>
      </c>
      <c r="F13" s="367">
        <f t="shared" si="0"/>
        <v>0</v>
      </c>
      <c r="G13" s="367"/>
      <c r="H13" s="380"/>
      <c r="I13" s="266"/>
      <c r="J13" s="266" t="s">
        <v>60</v>
      </c>
      <c r="K13" s="370">
        <v>0</v>
      </c>
      <c r="L13" s="368">
        <f t="shared" si="1"/>
        <v>0</v>
      </c>
      <c r="N13" s="56"/>
    </row>
    <row r="14" spans="1:14" ht="12.75">
      <c r="A14" s="266" t="s">
        <v>61</v>
      </c>
      <c r="B14" s="369">
        <v>0</v>
      </c>
      <c r="C14" s="369">
        <v>0</v>
      </c>
      <c r="D14" s="369">
        <v>0</v>
      </c>
      <c r="E14" s="366">
        <f t="shared" si="2"/>
        <v>0</v>
      </c>
      <c r="F14" s="367">
        <f t="shared" si="0"/>
        <v>0</v>
      </c>
      <c r="G14" s="367"/>
      <c r="H14" s="380"/>
      <c r="I14" s="266"/>
      <c r="J14" s="266" t="s">
        <v>61</v>
      </c>
      <c r="K14" s="370">
        <v>0</v>
      </c>
      <c r="L14" s="368">
        <f t="shared" si="1"/>
        <v>0</v>
      </c>
      <c r="N14" s="56"/>
    </row>
    <row r="15" spans="1:14" ht="12.75">
      <c r="A15" s="266" t="s">
        <v>17</v>
      </c>
      <c r="B15" s="369">
        <f>ProductionSequence!H$82</f>
        <v>95.83188520666667</v>
      </c>
      <c r="C15" s="369">
        <f>ProductionSequence!L$82</f>
        <v>72</v>
      </c>
      <c r="D15" s="369">
        <f>ProductionSequence!O$82</f>
        <v>183.0583384615385</v>
      </c>
      <c r="E15" s="366">
        <f t="shared" si="2"/>
        <v>350.8902236682052</v>
      </c>
      <c r="F15" s="367">
        <f t="shared" si="0"/>
        <v>0.01941166851661625</v>
      </c>
      <c r="G15" s="367"/>
      <c r="H15" s="380"/>
      <c r="I15" s="266"/>
      <c r="J15" s="266" t="s">
        <v>17</v>
      </c>
      <c r="K15" s="369">
        <f>ProductionSequence!M$82</f>
        <v>21.599999999999998</v>
      </c>
      <c r="L15" s="368">
        <f t="shared" si="1"/>
        <v>0.005997014819289953</v>
      </c>
      <c r="N15" s="56"/>
    </row>
    <row r="16" spans="1:14" ht="12.75">
      <c r="A16" s="266" t="s">
        <v>0</v>
      </c>
      <c r="B16" s="369">
        <f>ProductionSequence!H$7</f>
        <v>0</v>
      </c>
      <c r="C16" s="369">
        <v>0</v>
      </c>
      <c r="D16" s="369">
        <v>0</v>
      </c>
      <c r="E16" s="366">
        <f t="shared" si="2"/>
        <v>0</v>
      </c>
      <c r="F16" s="367">
        <f t="shared" si="0"/>
        <v>0</v>
      </c>
      <c r="G16" s="367"/>
      <c r="H16" s="380"/>
      <c r="I16" s="266"/>
      <c r="J16" s="266" t="s">
        <v>0</v>
      </c>
      <c r="K16" s="370">
        <v>0</v>
      </c>
      <c r="L16" s="368">
        <f t="shared" si="1"/>
        <v>0</v>
      </c>
      <c r="N16" s="56"/>
    </row>
    <row r="17" spans="1:14" ht="12.75">
      <c r="A17" s="266" t="s">
        <v>1</v>
      </c>
      <c r="B17" s="369">
        <f>ProductionSequence!H$7</f>
        <v>0</v>
      </c>
      <c r="C17" s="369">
        <v>0</v>
      </c>
      <c r="D17" s="369">
        <v>0</v>
      </c>
      <c r="E17" s="366">
        <f t="shared" si="2"/>
        <v>0</v>
      </c>
      <c r="F17" s="367">
        <f t="shared" si="0"/>
        <v>0</v>
      </c>
      <c r="G17" s="367"/>
      <c r="H17" s="380"/>
      <c r="I17" s="266"/>
      <c r="J17" s="266" t="s">
        <v>1</v>
      </c>
      <c r="K17" s="370">
        <v>0</v>
      </c>
      <c r="L17" s="368">
        <f t="shared" si="1"/>
        <v>0</v>
      </c>
      <c r="N17" s="56"/>
    </row>
    <row r="18" spans="1:14" ht="12.75">
      <c r="A18" s="266" t="s">
        <v>116</v>
      </c>
      <c r="B18" s="369">
        <f>ProductionSequence!H$90</f>
        <v>0</v>
      </c>
      <c r="C18" s="369">
        <f>ProductionSequence!L$90</f>
        <v>226</v>
      </c>
      <c r="D18" s="369">
        <f>ProductionSequence!O$90</f>
        <v>0</v>
      </c>
      <c r="E18" s="366">
        <f t="shared" si="2"/>
        <v>226</v>
      </c>
      <c r="F18" s="367">
        <f t="shared" si="0"/>
        <v>0.012502591377135566</v>
      </c>
      <c r="G18" s="367"/>
      <c r="H18" s="380"/>
      <c r="I18" s="266"/>
      <c r="J18" s="266" t="s">
        <v>117</v>
      </c>
      <c r="K18" s="370">
        <f>ProductionSequence!M94</f>
        <v>2.4</v>
      </c>
      <c r="L18" s="368">
        <f t="shared" si="1"/>
        <v>0.0006663349799211059</v>
      </c>
      <c r="N18" s="56"/>
    </row>
    <row r="19" spans="1:14" ht="12.75">
      <c r="A19" s="266" t="s">
        <v>117</v>
      </c>
      <c r="B19" s="369">
        <f>ProductionSequence!H$94</f>
        <v>32.300000000000004</v>
      </c>
      <c r="C19" s="369">
        <f>ProductionSequence!L$94</f>
        <v>70</v>
      </c>
      <c r="D19" s="369">
        <f>ProductionSequence!O$94</f>
        <v>20.339815384615388</v>
      </c>
      <c r="E19" s="366">
        <f t="shared" si="2"/>
        <v>122.6398153846154</v>
      </c>
      <c r="F19" s="367">
        <f t="shared" si="0"/>
        <v>0.0067845818509787185</v>
      </c>
      <c r="G19" s="367"/>
      <c r="H19" s="380"/>
      <c r="I19" s="266"/>
      <c r="J19" s="385" t="s">
        <v>340</v>
      </c>
      <c r="K19" s="386">
        <f>SUM(K6:K18)</f>
        <v>3601.792</v>
      </c>
      <c r="L19" s="387">
        <f>SUM(L6:L18)</f>
        <v>1</v>
      </c>
      <c r="N19" s="56"/>
    </row>
    <row r="20" spans="1:12" ht="12.75">
      <c r="A20" s="377" t="s">
        <v>340</v>
      </c>
      <c r="B20" s="378">
        <f>SUM(B6:B19)</f>
        <v>2310.7111951372335</v>
      </c>
      <c r="C20" s="378">
        <f>SUM(C6:C19)</f>
        <v>4249.5775</v>
      </c>
      <c r="D20" s="378">
        <f>SUM(D6:D19)</f>
        <v>11515.963913846155</v>
      </c>
      <c r="E20" s="378">
        <f>SUM(B20:D20)</f>
        <v>18076.25260898339</v>
      </c>
      <c r="F20" s="379">
        <f>SUM(F6:F19)</f>
        <v>1</v>
      </c>
      <c r="G20" s="372"/>
      <c r="H20" s="382"/>
      <c r="I20" s="275"/>
      <c r="J20" s="364"/>
      <c r="K20" s="266"/>
      <c r="L20" s="266"/>
    </row>
    <row r="21" spans="1:12" ht="12.75">
      <c r="A21" s="266"/>
      <c r="B21" s="266"/>
      <c r="C21" s="266"/>
      <c r="D21" s="266"/>
      <c r="E21" s="266"/>
      <c r="F21" s="266"/>
      <c r="G21" s="266"/>
      <c r="H21" s="266"/>
      <c r="I21" s="266"/>
      <c r="J21" s="266"/>
      <c r="K21" s="266"/>
      <c r="L21" s="266"/>
    </row>
    <row r="22" spans="1:12" ht="12.75">
      <c r="A22" s="266"/>
      <c r="B22" s="266"/>
      <c r="C22" s="266"/>
      <c r="D22" s="266"/>
      <c r="E22" s="266"/>
      <c r="F22" s="266"/>
      <c r="G22" s="266"/>
      <c r="H22" s="266"/>
      <c r="I22" s="266"/>
      <c r="J22" s="266"/>
      <c r="K22" s="266"/>
      <c r="L22" s="266"/>
    </row>
  </sheetData>
  <sheetProtection password="EB79" sheet="1" objects="1" scenarios="1" selectLockedCells="1" selectUnlockedCells="1"/>
  <mergeCells count="2">
    <mergeCell ref="A1:I1"/>
    <mergeCell ref="B5:E5"/>
  </mergeCells>
  <printOptions/>
  <pageMargins left="0.7" right="0.7" top="0.75" bottom="0.75" header="0.3" footer="0.3"/>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theme="7" tint="0.39998000860214233"/>
  </sheetPr>
  <dimension ref="A1:R30"/>
  <sheetViews>
    <sheetView zoomScalePageLayoutView="0" workbookViewId="0" topLeftCell="A1">
      <selection activeCell="A2" sqref="A2"/>
    </sheetView>
  </sheetViews>
  <sheetFormatPr defaultColWidth="9.140625" defaultRowHeight="12.75"/>
  <cols>
    <col min="1" max="1" width="20.28125" style="0" customWidth="1"/>
    <col min="2" max="2" width="12.00390625" style="0" customWidth="1"/>
    <col min="3" max="5" width="12.140625" style="0" customWidth="1"/>
    <col min="6" max="6" width="10.57421875" style="0" customWidth="1"/>
    <col min="7" max="7" width="11.140625" style="0" customWidth="1"/>
    <col min="8" max="8" width="12.00390625" style="0" customWidth="1"/>
    <col min="9" max="9" width="8.8515625" style="0" customWidth="1"/>
  </cols>
  <sheetData>
    <row r="1" spans="2:8" ht="12.75">
      <c r="B1" s="475" t="s">
        <v>342</v>
      </c>
      <c r="C1" s="475"/>
      <c r="D1" s="475"/>
      <c r="E1" s="475"/>
      <c r="F1" s="475"/>
      <c r="G1" s="475"/>
      <c r="H1" s="475"/>
    </row>
    <row r="2" spans="1:9" ht="13.5" thickBot="1">
      <c r="A2" s="57"/>
      <c r="B2" s="57"/>
      <c r="C2" s="57"/>
      <c r="D2" s="57"/>
      <c r="E2" s="57"/>
      <c r="F2" s="57"/>
      <c r="G2" s="57"/>
      <c r="H2" s="57"/>
      <c r="I2" s="57"/>
    </row>
    <row r="3" spans="1:16" ht="14.25" customHeight="1">
      <c r="A3" s="394" t="s">
        <v>364</v>
      </c>
      <c r="B3" s="393" t="s">
        <v>132</v>
      </c>
      <c r="C3" s="393" t="s">
        <v>365</v>
      </c>
      <c r="D3" s="398" t="s">
        <v>369</v>
      </c>
      <c r="E3" s="474" t="s">
        <v>374</v>
      </c>
      <c r="F3" s="474"/>
      <c r="G3" s="474"/>
      <c r="H3" s="393" t="s">
        <v>66</v>
      </c>
      <c r="I3" s="393" t="s">
        <v>372</v>
      </c>
      <c r="M3" s="17"/>
      <c r="O3" s="17"/>
      <c r="P3" s="203"/>
    </row>
    <row r="4" spans="1:16" ht="12.75" customHeight="1">
      <c r="A4" s="394" t="s">
        <v>364</v>
      </c>
      <c r="B4" s="393"/>
      <c r="C4" s="393" t="s">
        <v>366</v>
      </c>
      <c r="D4" s="398" t="s">
        <v>370</v>
      </c>
      <c r="E4" s="400" t="s">
        <v>63</v>
      </c>
      <c r="F4" s="400" t="s">
        <v>64</v>
      </c>
      <c r="G4" s="400" t="s">
        <v>65</v>
      </c>
      <c r="H4" s="393" t="s">
        <v>371</v>
      </c>
      <c r="I4" s="393" t="s">
        <v>373</v>
      </c>
      <c r="M4" s="17"/>
      <c r="O4" s="17"/>
      <c r="P4" s="203"/>
    </row>
    <row r="5" spans="1:16" ht="13.5" thickBot="1">
      <c r="A5" s="374"/>
      <c r="B5" s="375" t="s">
        <v>367</v>
      </c>
      <c r="C5" s="375" t="s">
        <v>368</v>
      </c>
      <c r="D5" s="375"/>
      <c r="E5" s="399" t="s">
        <v>2</v>
      </c>
      <c r="F5" s="399" t="s">
        <v>2</v>
      </c>
      <c r="G5" s="399" t="s">
        <v>2</v>
      </c>
      <c r="H5" s="399" t="s">
        <v>115</v>
      </c>
      <c r="I5" s="399"/>
      <c r="M5" s="17"/>
      <c r="O5" s="17"/>
      <c r="P5" s="42"/>
    </row>
    <row r="6" spans="1:17" ht="15" customHeight="1">
      <c r="A6" s="71"/>
      <c r="B6" s="46"/>
      <c r="C6" s="348" t="s">
        <v>2</v>
      </c>
      <c r="D6" s="473" t="s">
        <v>362</v>
      </c>
      <c r="E6" s="473"/>
      <c r="F6" s="473"/>
      <c r="G6" s="473"/>
      <c r="H6" s="46" t="s">
        <v>199</v>
      </c>
      <c r="I6" s="46" t="s">
        <v>199</v>
      </c>
      <c r="L6" s="200"/>
      <c r="M6" s="200"/>
      <c r="N6" s="200"/>
      <c r="O6" s="200"/>
      <c r="P6" s="200"/>
      <c r="Q6" s="200"/>
    </row>
    <row r="7" spans="1:17" ht="8.25" customHeight="1">
      <c r="A7" s="71"/>
      <c r="B7" s="46"/>
      <c r="C7" s="348"/>
      <c r="D7" s="46"/>
      <c r="E7" s="46"/>
      <c r="F7" s="46"/>
      <c r="G7" s="46"/>
      <c r="H7" s="46"/>
      <c r="I7" s="46"/>
      <c r="L7" s="200"/>
      <c r="M7" s="200"/>
      <c r="N7" s="200"/>
      <c r="O7" s="200"/>
      <c r="P7" s="200"/>
      <c r="Q7" s="200"/>
    </row>
    <row r="8" spans="1:18" ht="12.75">
      <c r="A8" s="388" t="s">
        <v>66</v>
      </c>
      <c r="B8" s="389">
        <f>Assumptions!G5</f>
        <v>96646</v>
      </c>
      <c r="C8" s="390"/>
      <c r="D8" s="391">
        <f>SUM(D11:D14)</f>
        <v>26064.068000000003</v>
      </c>
      <c r="E8" s="391">
        <f>BudgetSummary!B20</f>
        <v>2310.7111951372335</v>
      </c>
      <c r="F8" s="391">
        <f>BudgetSummary!C20</f>
        <v>4249.5775</v>
      </c>
      <c r="G8" s="391">
        <f>BudgetSummary!D20</f>
        <v>11515.963913846155</v>
      </c>
      <c r="H8" s="391">
        <f>BudgetSummary!E20</f>
        <v>18076.25260898339</v>
      </c>
      <c r="I8" s="392">
        <f>D8-H8</f>
        <v>7987.815391016615</v>
      </c>
      <c r="L8" s="200"/>
      <c r="M8" s="268"/>
      <c r="N8" s="200"/>
      <c r="O8" s="270"/>
      <c r="P8" s="270"/>
      <c r="Q8" s="271"/>
      <c r="R8" s="75"/>
    </row>
    <row r="9" spans="1:17" s="75" customFormat="1" ht="4.5" customHeight="1">
      <c r="A9" s="268"/>
      <c r="B9" s="395"/>
      <c r="C9" s="396"/>
      <c r="D9" s="267"/>
      <c r="E9" s="267"/>
      <c r="F9" s="267"/>
      <c r="G9" s="267"/>
      <c r="H9" s="267"/>
      <c r="I9" s="397"/>
      <c r="L9" s="200"/>
      <c r="M9" s="268"/>
      <c r="N9" s="200"/>
      <c r="O9" s="270"/>
      <c r="P9" s="270"/>
      <c r="Q9" s="271"/>
    </row>
    <row r="10" spans="1:18" ht="12.75">
      <c r="A10" s="58" t="s">
        <v>203</v>
      </c>
      <c r="B10" s="349">
        <f>Assumptions!G8</f>
        <v>77316.8</v>
      </c>
      <c r="C10" s="73"/>
      <c r="D10" s="72"/>
      <c r="E10" s="72"/>
      <c r="F10" s="72"/>
      <c r="G10" s="72"/>
      <c r="H10" s="72"/>
      <c r="I10" s="350"/>
      <c r="L10" s="200"/>
      <c r="M10" s="268"/>
      <c r="N10" s="200"/>
      <c r="O10" s="270"/>
      <c r="P10" s="270"/>
      <c r="Q10" s="271"/>
      <c r="R10" s="75"/>
    </row>
    <row r="11" spans="1:18" ht="12.75">
      <c r="A11" s="58" t="s">
        <v>330</v>
      </c>
      <c r="B11" s="349">
        <f>Assumptions!G11</f>
        <v>33301</v>
      </c>
      <c r="C11" s="73">
        <f>Assumptions!G19/25</f>
        <v>0.38</v>
      </c>
      <c r="D11" s="72">
        <f>B11*C11</f>
        <v>12654.380000000001</v>
      </c>
      <c r="E11" s="72"/>
      <c r="F11" s="72"/>
      <c r="G11" s="72"/>
      <c r="H11" s="72"/>
      <c r="I11" s="351" t="s">
        <v>2</v>
      </c>
      <c r="L11" s="200"/>
      <c r="M11" s="268"/>
      <c r="N11" s="200"/>
      <c r="O11" s="270"/>
      <c r="P11" s="270"/>
      <c r="Q11" s="270"/>
      <c r="R11" s="75"/>
    </row>
    <row r="12" spans="1:17" ht="12.75">
      <c r="A12" s="58" t="s">
        <v>331</v>
      </c>
      <c r="B12" s="349">
        <f>Assumptions!G12</f>
        <v>24748</v>
      </c>
      <c r="C12" s="73">
        <f>Assumptions!G20/25</f>
        <v>0.326</v>
      </c>
      <c r="D12" s="72">
        <f>B12*C12</f>
        <v>8067.848</v>
      </c>
      <c r="E12" s="267"/>
      <c r="F12" s="267"/>
      <c r="G12" s="267"/>
      <c r="H12" s="267"/>
      <c r="I12" s="352" t="s">
        <v>2</v>
      </c>
      <c r="L12" s="200"/>
      <c r="M12" s="200"/>
      <c r="N12" s="200"/>
      <c r="O12" s="270"/>
      <c r="P12" s="270"/>
      <c r="Q12" s="272"/>
    </row>
    <row r="13" spans="1:17" ht="12.75">
      <c r="A13" s="58" t="s">
        <v>332</v>
      </c>
      <c r="B13" s="349">
        <f>Assumptions!G13</f>
        <v>19078</v>
      </c>
      <c r="C13" s="73">
        <f>Assumptions!G21/25</f>
        <v>0.28</v>
      </c>
      <c r="D13" s="72">
        <f>B13*C13</f>
        <v>5341.84</v>
      </c>
      <c r="E13" s="72"/>
      <c r="F13" s="72"/>
      <c r="G13" s="72"/>
      <c r="H13" s="72"/>
      <c r="I13" s="351" t="s">
        <v>2</v>
      </c>
      <c r="L13" s="200"/>
      <c r="M13" s="200"/>
      <c r="N13" s="200"/>
      <c r="O13" s="200"/>
      <c r="P13" s="200"/>
      <c r="Q13" s="200"/>
    </row>
    <row r="14" spans="1:17" ht="12.75">
      <c r="A14" s="58" t="s">
        <v>344</v>
      </c>
      <c r="B14" s="349">
        <f>Assumptions!G16</f>
        <v>19329.199999999997</v>
      </c>
      <c r="C14" s="73">
        <f>Assumptions!G23</f>
        <v>0</v>
      </c>
      <c r="D14" s="72">
        <f>B14*C14</f>
        <v>0</v>
      </c>
      <c r="E14" s="72"/>
      <c r="F14" s="72"/>
      <c r="G14" s="72"/>
      <c r="H14" s="72"/>
      <c r="I14" s="351" t="s">
        <v>2</v>
      </c>
      <c r="J14" s="71"/>
      <c r="L14" s="200"/>
      <c r="M14" s="268"/>
      <c r="N14" s="268"/>
      <c r="O14" s="273"/>
      <c r="P14" s="269"/>
      <c r="Q14" s="269"/>
    </row>
    <row r="15" spans="12:17" ht="12.75">
      <c r="L15" s="200"/>
      <c r="M15" s="268"/>
      <c r="N15" s="268"/>
      <c r="O15" s="200"/>
      <c r="P15" s="269"/>
      <c r="Q15" s="200"/>
    </row>
    <row r="16" spans="12:17" ht="12.75">
      <c r="L16" s="200"/>
      <c r="M16" s="268"/>
      <c r="N16" s="268"/>
      <c r="O16" s="200"/>
      <c r="P16" s="269"/>
      <c r="Q16" s="200"/>
    </row>
    <row r="17" spans="12:17" ht="12.75">
      <c r="L17" s="200"/>
      <c r="M17" s="268"/>
      <c r="N17" s="200"/>
      <c r="O17" s="200"/>
      <c r="P17" s="269"/>
      <c r="Q17" s="200"/>
    </row>
    <row r="18" spans="12:17" ht="12.75">
      <c r="L18" s="200"/>
      <c r="M18" s="268"/>
      <c r="N18" s="200"/>
      <c r="O18" s="200"/>
      <c r="P18" s="269"/>
      <c r="Q18" s="200"/>
    </row>
    <row r="19" spans="12:17" ht="12.75">
      <c r="L19" s="200"/>
      <c r="M19" s="268"/>
      <c r="N19" s="200"/>
      <c r="O19" s="200"/>
      <c r="P19" s="269"/>
      <c r="Q19" s="200"/>
    </row>
    <row r="20" spans="12:17" ht="12.75">
      <c r="L20" s="200"/>
      <c r="M20" s="268"/>
      <c r="N20" s="268"/>
      <c r="O20" s="200"/>
      <c r="P20" s="269"/>
      <c r="Q20" s="200"/>
    </row>
    <row r="21" spans="12:17" ht="12.75">
      <c r="L21" s="200"/>
      <c r="M21" s="200"/>
      <c r="N21" s="200"/>
      <c r="O21" s="200"/>
      <c r="P21" s="200"/>
      <c r="Q21" s="200"/>
    </row>
    <row r="22" spans="12:17" ht="12.75">
      <c r="L22" s="200"/>
      <c r="M22" s="200"/>
      <c r="N22" s="200"/>
      <c r="O22" s="200"/>
      <c r="P22" s="200"/>
      <c r="Q22" s="200"/>
    </row>
    <row r="23" spans="12:18" ht="12.75">
      <c r="L23" s="200"/>
      <c r="M23" s="268"/>
      <c r="N23" s="268"/>
      <c r="O23" s="268"/>
      <c r="P23" s="268"/>
      <c r="Q23" s="268"/>
      <c r="R23" s="76"/>
    </row>
    <row r="24" spans="12:18" ht="12.75">
      <c r="L24" s="200"/>
      <c r="M24" s="268"/>
      <c r="N24" s="268"/>
      <c r="O24" s="268"/>
      <c r="P24" s="268"/>
      <c r="Q24" s="268"/>
      <c r="R24" s="76"/>
    </row>
    <row r="25" spans="12:18" ht="12.75">
      <c r="L25" s="200"/>
      <c r="M25" s="268"/>
      <c r="N25" s="268"/>
      <c r="O25" s="268"/>
      <c r="P25" s="268"/>
      <c r="Q25" s="274"/>
      <c r="R25" s="6"/>
    </row>
    <row r="26" spans="12:18" ht="12.75">
      <c r="L26" s="200"/>
      <c r="M26" s="268"/>
      <c r="N26" s="268"/>
      <c r="O26" s="268"/>
      <c r="P26" s="275"/>
      <c r="Q26" s="274"/>
      <c r="R26" s="6"/>
    </row>
    <row r="27" spans="12:18" ht="12.75">
      <c r="L27" s="200"/>
      <c r="M27" s="268"/>
      <c r="N27" s="268"/>
      <c r="O27" s="268"/>
      <c r="P27" s="275"/>
      <c r="Q27" s="274"/>
      <c r="R27" s="6"/>
    </row>
    <row r="28" spans="12:18" ht="12.75">
      <c r="L28" s="200"/>
      <c r="M28" s="268"/>
      <c r="N28" s="268"/>
      <c r="O28" s="268"/>
      <c r="P28" s="268"/>
      <c r="Q28" s="274"/>
      <c r="R28" s="6"/>
    </row>
    <row r="29" spans="12:18" ht="12.75">
      <c r="L29" s="200"/>
      <c r="M29" s="200"/>
      <c r="N29" s="200"/>
      <c r="O29" s="200"/>
      <c r="P29" s="276"/>
      <c r="Q29" s="200"/>
      <c r="R29" s="80"/>
    </row>
    <row r="30" spans="12:17" ht="12.75">
      <c r="L30" s="200"/>
      <c r="M30" s="200"/>
      <c r="N30" s="200"/>
      <c r="O30" s="200"/>
      <c r="P30" s="200"/>
      <c r="Q30" s="200"/>
    </row>
  </sheetData>
  <sheetProtection password="EB79" sheet="1" objects="1" scenarios="1" selectLockedCells="1" selectUnlockedCells="1"/>
  <mergeCells count="3">
    <mergeCell ref="E3:G3"/>
    <mergeCell ref="B1:H1"/>
    <mergeCell ref="D6:G6"/>
  </mergeCells>
  <printOptions/>
  <pageMargins left="1.25" right="0"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W36"/>
  <sheetViews>
    <sheetView zoomScaleSheetLayoutView="100" zoomScalePageLayoutView="0" workbookViewId="0" topLeftCell="A1">
      <selection activeCell="F10" sqref="F10"/>
    </sheetView>
  </sheetViews>
  <sheetFormatPr defaultColWidth="9.140625" defaultRowHeight="12.75"/>
  <cols>
    <col min="1" max="1" width="23.28125" style="0" customWidth="1"/>
    <col min="2" max="2" width="12.28125" style="0" customWidth="1"/>
    <col min="3" max="6" width="9.28125" style="0" bestFit="1" customWidth="1"/>
    <col min="7" max="7" width="9.28125" style="0" hidden="1" customWidth="1"/>
    <col min="8" max="10" width="10.7109375" style="0" customWidth="1"/>
    <col min="11" max="11" width="9.28125" style="0" bestFit="1" customWidth="1"/>
    <col min="12" max="12" width="10.57421875" style="0" customWidth="1"/>
    <col min="13" max="13" width="11.140625" style="0" bestFit="1" customWidth="1"/>
    <col min="14" max="14" width="12.28125" style="0" customWidth="1"/>
    <col min="15" max="15" width="12.140625" style="0" customWidth="1"/>
    <col min="16" max="16" width="11.8515625" style="0" customWidth="1"/>
    <col min="17" max="17" width="12.7109375" style="0" customWidth="1"/>
    <col min="18" max="18" width="24.7109375" style="0" customWidth="1"/>
  </cols>
  <sheetData>
    <row r="1" spans="1:17" ht="12.75">
      <c r="A1" s="18" t="s">
        <v>377</v>
      </c>
      <c r="B1" s="18"/>
      <c r="C1" s="19"/>
      <c r="D1" s="19"/>
      <c r="E1" s="14"/>
      <c r="F1" s="14"/>
      <c r="G1" s="15"/>
      <c r="H1" s="15"/>
      <c r="I1" s="15"/>
      <c r="J1" s="15"/>
      <c r="K1" s="15"/>
      <c r="L1" s="15"/>
      <c r="M1" s="15"/>
      <c r="N1" s="16"/>
      <c r="O1" s="16"/>
      <c r="P1" s="16"/>
      <c r="Q1" s="16"/>
    </row>
    <row r="2" spans="1:21" ht="13.5" thickBot="1">
      <c r="A2" s="201"/>
      <c r="B2" s="20"/>
      <c r="C2" s="21"/>
      <c r="D2" s="21"/>
      <c r="E2" s="21"/>
      <c r="F2" s="21"/>
      <c r="G2" s="22"/>
      <c r="H2" s="22"/>
      <c r="I2" s="22"/>
      <c r="J2" s="22"/>
      <c r="K2" s="22"/>
      <c r="L2" s="22"/>
      <c r="M2" s="22"/>
      <c r="N2" s="23"/>
      <c r="O2" s="23"/>
      <c r="P2" s="23"/>
      <c r="Q2" s="23"/>
      <c r="S2" s="476" t="s">
        <v>2</v>
      </c>
      <c r="T2" s="477"/>
      <c r="U2" s="477"/>
    </row>
    <row r="3" spans="1:21" ht="36.75" customHeight="1" thickBot="1" thickTop="1">
      <c r="A3" s="91" t="s">
        <v>83</v>
      </c>
      <c r="B3" s="122"/>
      <c r="C3" s="120" t="s">
        <v>84</v>
      </c>
      <c r="D3" s="120" t="s">
        <v>85</v>
      </c>
      <c r="E3" s="120" t="s">
        <v>86</v>
      </c>
      <c r="F3" s="92" t="s">
        <v>128</v>
      </c>
      <c r="G3" s="92" t="s">
        <v>87</v>
      </c>
      <c r="H3" s="123" t="s">
        <v>217</v>
      </c>
      <c r="I3" s="120" t="s">
        <v>214</v>
      </c>
      <c r="J3" s="120" t="s">
        <v>89</v>
      </c>
      <c r="K3" s="120" t="s">
        <v>88</v>
      </c>
      <c r="L3" s="120" t="s">
        <v>24</v>
      </c>
      <c r="M3" s="120" t="s">
        <v>90</v>
      </c>
      <c r="N3" s="120" t="s">
        <v>219</v>
      </c>
      <c r="O3" s="120" t="s">
        <v>218</v>
      </c>
      <c r="P3" s="120" t="s">
        <v>91</v>
      </c>
      <c r="Q3" s="121" t="s">
        <v>220</v>
      </c>
      <c r="R3" s="95" t="s">
        <v>83</v>
      </c>
      <c r="S3" s="118" t="s">
        <v>215</v>
      </c>
      <c r="T3" s="118" t="s">
        <v>216</v>
      </c>
      <c r="U3" s="119" t="s">
        <v>221</v>
      </c>
    </row>
    <row r="4" spans="1:22" ht="13.5" thickTop="1">
      <c r="A4" s="82" t="s">
        <v>92</v>
      </c>
      <c r="B4" s="99" t="s">
        <v>93</v>
      </c>
      <c r="C4" s="440">
        <v>24400</v>
      </c>
      <c r="D4" s="100">
        <f>$C4*0.22047</f>
        <v>5379.468</v>
      </c>
      <c r="E4" s="442">
        <v>20</v>
      </c>
      <c r="F4" s="442">
        <v>500</v>
      </c>
      <c r="G4" s="81">
        <f aca="true" t="shared" si="0" ref="G4:H19">($C4-$D4)/$E4</f>
        <v>951.0265999999999</v>
      </c>
      <c r="H4" s="90">
        <f t="shared" si="0"/>
        <v>951.0265999999999</v>
      </c>
      <c r="I4" s="103">
        <f aca="true" t="shared" si="1" ref="I4:I19">D4*0.09+H4*0.05</f>
        <v>531.70345</v>
      </c>
      <c r="J4" s="100">
        <f>($C4+$D4)/2*Assumptions!G41</f>
        <v>1042.2813800000001</v>
      </c>
      <c r="K4" s="100">
        <f>($C4+$D4)/2*Assumptions!G42</f>
        <v>119.117872</v>
      </c>
      <c r="L4" s="100">
        <f>($C4+$D4)/2*Assumptions!G43</f>
        <v>119.117872</v>
      </c>
      <c r="M4" s="100">
        <f aca="true" t="shared" si="2" ref="M4:M18">$J4+$K4+$L4</f>
        <v>1280.5171240000002</v>
      </c>
      <c r="N4" s="107">
        <f>(0.3*C4)/E4</f>
        <v>366</v>
      </c>
      <c r="O4" s="108">
        <f>(Assumptions!C49*Assumptions!B49*F4)+((Assumptions!C49*Assumptions!B49*F4)*Assumptions!D49)</f>
        <v>5036.25</v>
      </c>
      <c r="P4" s="115">
        <f aca="true" t="shared" si="3" ref="P4:P18">SUM($N4:$O4)</f>
        <v>5402.25</v>
      </c>
      <c r="Q4" s="116">
        <f aca="true" t="shared" si="4" ref="Q4:Q19">$M4+$P4</f>
        <v>6682.767124</v>
      </c>
      <c r="R4" s="82" t="str">
        <f>A4</f>
        <v>Tractor, 60hp</v>
      </c>
      <c r="S4" s="117">
        <f aca="true" t="shared" si="5" ref="S4:S19">(M4)/F4</f>
        <v>2.5610342480000003</v>
      </c>
      <c r="T4" s="84">
        <f aca="true" t="shared" si="6" ref="T4:T21">(P4)/F4</f>
        <v>10.8045</v>
      </c>
      <c r="U4" s="96">
        <f aca="true" t="shared" si="7" ref="U4:U21">S4+T4</f>
        <v>13.365534248000001</v>
      </c>
      <c r="V4" s="17"/>
    </row>
    <row r="5" spans="1:22" ht="12.75">
      <c r="A5" s="82" t="s">
        <v>100</v>
      </c>
      <c r="B5" s="99" t="s">
        <v>109</v>
      </c>
      <c r="C5" s="440">
        <v>750</v>
      </c>
      <c r="D5" s="100">
        <f>C5*0.22047</f>
        <v>165.3525</v>
      </c>
      <c r="E5" s="442">
        <v>12</v>
      </c>
      <c r="F5" s="442">
        <v>100</v>
      </c>
      <c r="G5" s="81">
        <f t="shared" si="0"/>
        <v>48.720625000000005</v>
      </c>
      <c r="H5" s="90">
        <f t="shared" si="0"/>
        <v>48.720625000000005</v>
      </c>
      <c r="I5" s="103">
        <f t="shared" si="1"/>
        <v>17.31775625</v>
      </c>
      <c r="J5" s="100">
        <f>($C5+$D5)/2*Assumptions!G41</f>
        <v>32.0373375</v>
      </c>
      <c r="K5" s="100">
        <f>($C5+$D5)/2*Assumptions!G42</f>
        <v>3.66141</v>
      </c>
      <c r="L5" s="100">
        <f>($C5+$D5)/2*Assumptions!G43</f>
        <v>3.66141</v>
      </c>
      <c r="M5" s="100">
        <f t="shared" si="2"/>
        <v>39.3601575</v>
      </c>
      <c r="N5" s="107">
        <f>(0.52*C5)/E5</f>
        <v>32.5</v>
      </c>
      <c r="O5" s="108">
        <v>0</v>
      </c>
      <c r="P5" s="115">
        <f t="shared" si="3"/>
        <v>32.5</v>
      </c>
      <c r="Q5" s="116">
        <f t="shared" si="4"/>
        <v>71.8601575</v>
      </c>
      <c r="R5" s="82" t="str">
        <f aca="true" t="shared" si="8" ref="R5:R19">A5</f>
        <v>Boom Sprayer 1</v>
      </c>
      <c r="S5" s="117">
        <f t="shared" si="5"/>
        <v>0.393601575</v>
      </c>
      <c r="T5" s="84">
        <f t="shared" si="6"/>
        <v>0.325</v>
      </c>
      <c r="U5" s="96">
        <f t="shared" si="7"/>
        <v>0.718601575</v>
      </c>
      <c r="V5" s="17"/>
    </row>
    <row r="6" spans="1:22" ht="12.75">
      <c r="A6" s="82" t="s">
        <v>101</v>
      </c>
      <c r="B6" s="99" t="s">
        <v>110</v>
      </c>
      <c r="C6" s="440">
        <v>6000</v>
      </c>
      <c r="D6" s="100">
        <v>429</v>
      </c>
      <c r="E6" s="442">
        <v>12</v>
      </c>
      <c r="F6" s="442">
        <v>125</v>
      </c>
      <c r="G6" s="81">
        <f t="shared" si="0"/>
        <v>464.25</v>
      </c>
      <c r="H6" s="90">
        <f t="shared" si="0"/>
        <v>464.25</v>
      </c>
      <c r="I6" s="103">
        <f t="shared" si="1"/>
        <v>61.822500000000005</v>
      </c>
      <c r="J6" s="100">
        <f>($C6+$D6)/2*Assumptions!G41</f>
        <v>225.01500000000001</v>
      </c>
      <c r="K6" s="100">
        <f>($C6+$D6)/2*Assumptions!G42</f>
        <v>25.716</v>
      </c>
      <c r="L6" s="100">
        <f>($C6+$D6)/2*Assumptions!G43</f>
        <v>25.716</v>
      </c>
      <c r="M6" s="100">
        <f t="shared" si="2"/>
        <v>276.447</v>
      </c>
      <c r="N6" s="107">
        <f>(0.52*C6)/E6</f>
        <v>260</v>
      </c>
      <c r="O6" s="108">
        <v>0</v>
      </c>
      <c r="P6" s="115">
        <f t="shared" si="3"/>
        <v>260</v>
      </c>
      <c r="Q6" s="116">
        <f t="shared" si="4"/>
        <v>536.447</v>
      </c>
      <c r="R6" s="82" t="str">
        <f t="shared" si="8"/>
        <v>PTO Blast Sprayer 1</v>
      </c>
      <c r="S6" s="117">
        <f t="shared" si="5"/>
        <v>2.211576</v>
      </c>
      <c r="T6" s="84">
        <f t="shared" si="6"/>
        <v>2.08</v>
      </c>
      <c r="U6" s="96">
        <f t="shared" si="7"/>
        <v>4.291576</v>
      </c>
      <c r="V6" s="17"/>
    </row>
    <row r="7" spans="1:22" ht="12.75">
      <c r="A7" s="82" t="s">
        <v>315</v>
      </c>
      <c r="B7" s="99" t="s">
        <v>2</v>
      </c>
      <c r="C7" s="440">
        <v>2000</v>
      </c>
      <c r="D7" s="100">
        <f>C7*0.22047</f>
        <v>440.94</v>
      </c>
      <c r="E7" s="442">
        <v>15</v>
      </c>
      <c r="F7" s="443">
        <v>75</v>
      </c>
      <c r="G7" s="81">
        <f t="shared" si="0"/>
        <v>103.93733333333333</v>
      </c>
      <c r="H7" s="90">
        <f t="shared" si="0"/>
        <v>103.93733333333333</v>
      </c>
      <c r="I7" s="103">
        <f t="shared" si="1"/>
        <v>44.88146666666666</v>
      </c>
      <c r="J7" s="100">
        <f>($C7+$D7)/2*Assumptions!G41</f>
        <v>85.4329</v>
      </c>
      <c r="K7" s="100">
        <f>($C7+$D7)/2*Assumptions!G42</f>
        <v>9.76376</v>
      </c>
      <c r="L7" s="100">
        <f>($C7+$D7)/2*Assumptions!G43</f>
        <v>9.76376</v>
      </c>
      <c r="M7" s="100">
        <f t="shared" si="2"/>
        <v>104.96042000000001</v>
      </c>
      <c r="N7" s="107">
        <f>(0.44*C7)/E7</f>
        <v>58.666666666666664</v>
      </c>
      <c r="O7" s="108">
        <v>0</v>
      </c>
      <c r="P7" s="115">
        <f t="shared" si="3"/>
        <v>58.666666666666664</v>
      </c>
      <c r="Q7" s="116">
        <f t="shared" si="4"/>
        <v>163.62708666666668</v>
      </c>
      <c r="R7" s="82" t="str">
        <f t="shared" si="8"/>
        <v>Plastic Mulch Lifter</v>
      </c>
      <c r="S7" s="117">
        <f t="shared" si="5"/>
        <v>1.3994722666666668</v>
      </c>
      <c r="T7" s="84">
        <f t="shared" si="6"/>
        <v>0.7822222222222222</v>
      </c>
      <c r="U7" s="96">
        <f t="shared" si="7"/>
        <v>2.1816944888888887</v>
      </c>
      <c r="V7" s="58"/>
    </row>
    <row r="8" spans="1:22" ht="12.75">
      <c r="A8" s="82" t="s">
        <v>102</v>
      </c>
      <c r="B8" s="99" t="s">
        <v>94</v>
      </c>
      <c r="C8" s="440">
        <v>3000</v>
      </c>
      <c r="D8" s="100">
        <v>288</v>
      </c>
      <c r="E8" s="442">
        <v>15</v>
      </c>
      <c r="F8" s="442">
        <v>125</v>
      </c>
      <c r="G8" s="81">
        <f aca="true" t="shared" si="9" ref="G8:G17">($C8-$D8)/$E8</f>
        <v>180.8</v>
      </c>
      <c r="H8" s="90">
        <f t="shared" si="0"/>
        <v>180.8</v>
      </c>
      <c r="I8" s="103">
        <f t="shared" si="1"/>
        <v>34.96</v>
      </c>
      <c r="J8" s="100">
        <f>($C8+$D8)/2*Assumptions!G41</f>
        <v>115.08000000000001</v>
      </c>
      <c r="K8" s="100">
        <f>($C8+$D8)/2*Assumptions!G42</f>
        <v>13.152000000000001</v>
      </c>
      <c r="L8" s="100">
        <f>($C8+$D8)/2*Assumptions!G43</f>
        <v>13.152000000000001</v>
      </c>
      <c r="M8" s="100">
        <f t="shared" si="2"/>
        <v>141.38400000000001</v>
      </c>
      <c r="N8" s="107">
        <f>(0.44*C8)/E8</f>
        <v>88</v>
      </c>
      <c r="O8" s="108">
        <v>0</v>
      </c>
      <c r="P8" s="115">
        <f t="shared" si="3"/>
        <v>88</v>
      </c>
      <c r="Q8" s="116">
        <f t="shared" si="4"/>
        <v>229.38400000000001</v>
      </c>
      <c r="R8" s="82" t="str">
        <f t="shared" si="8"/>
        <v>7' Tine Chisel Plow</v>
      </c>
      <c r="S8" s="117">
        <f t="shared" si="5"/>
        <v>1.131072</v>
      </c>
      <c r="T8" s="84">
        <f t="shared" si="6"/>
        <v>0.704</v>
      </c>
      <c r="U8" s="96">
        <f t="shared" si="7"/>
        <v>1.835072</v>
      </c>
      <c r="V8" s="17"/>
    </row>
    <row r="9" spans="1:22" ht="12.75">
      <c r="A9" s="82" t="s">
        <v>95</v>
      </c>
      <c r="B9" s="99" t="s">
        <v>107</v>
      </c>
      <c r="C9" s="440">
        <v>5000</v>
      </c>
      <c r="D9" s="100">
        <v>480</v>
      </c>
      <c r="E9" s="442">
        <v>15</v>
      </c>
      <c r="F9" s="442">
        <v>125</v>
      </c>
      <c r="G9" s="81">
        <f t="shared" si="9"/>
        <v>301.3333333333333</v>
      </c>
      <c r="H9" s="90">
        <f t="shared" si="0"/>
        <v>301.3333333333333</v>
      </c>
      <c r="I9" s="103">
        <f t="shared" si="1"/>
        <v>58.266666666666666</v>
      </c>
      <c r="J9" s="100">
        <f>($C9+$D9)/2*Assumptions!G41</f>
        <v>191.8</v>
      </c>
      <c r="K9" s="100">
        <f>($C9+$D9)/2*Assumptions!G42</f>
        <v>21.92</v>
      </c>
      <c r="L9" s="100">
        <f>($C9+$D9)/2*Assumptions!G43</f>
        <v>21.92</v>
      </c>
      <c r="M9" s="100">
        <f t="shared" si="2"/>
        <v>235.64000000000004</v>
      </c>
      <c r="N9" s="107">
        <f aca="true" t="shared" si="10" ref="N9:N14">(0.3*C9)/E9</f>
        <v>100</v>
      </c>
      <c r="O9" s="108">
        <v>0</v>
      </c>
      <c r="P9" s="115">
        <f t="shared" si="3"/>
        <v>100</v>
      </c>
      <c r="Q9" s="116">
        <f t="shared" si="4"/>
        <v>335.64000000000004</v>
      </c>
      <c r="R9" s="82" t="str">
        <f t="shared" si="8"/>
        <v>9' Disc</v>
      </c>
      <c r="S9" s="117">
        <f t="shared" si="5"/>
        <v>1.8851200000000004</v>
      </c>
      <c r="T9" s="84">
        <f t="shared" si="6"/>
        <v>0.8</v>
      </c>
      <c r="U9" s="96">
        <f t="shared" si="7"/>
        <v>2.6851200000000004</v>
      </c>
      <c r="V9" s="17"/>
    </row>
    <row r="10" spans="1:22" ht="12.75">
      <c r="A10" s="82" t="s">
        <v>247</v>
      </c>
      <c r="B10" s="99" t="s">
        <v>2</v>
      </c>
      <c r="C10" s="440">
        <v>300</v>
      </c>
      <c r="D10" s="100">
        <v>30</v>
      </c>
      <c r="E10" s="442">
        <v>15</v>
      </c>
      <c r="F10" s="442">
        <v>125</v>
      </c>
      <c r="G10" s="81">
        <f t="shared" si="9"/>
        <v>18</v>
      </c>
      <c r="H10" s="90">
        <f t="shared" si="0"/>
        <v>18</v>
      </c>
      <c r="I10" s="103">
        <f>D10*0.09+H10*0.05</f>
        <v>3.5999999999999996</v>
      </c>
      <c r="J10" s="100">
        <f>($C10+$D10)/2*Assumptions!G41</f>
        <v>11.55</v>
      </c>
      <c r="K10" s="100">
        <f>($C10+$D10)/2*Assumptions!G42</f>
        <v>1.32</v>
      </c>
      <c r="L10" s="100">
        <f>($C10+$D10)/2*Assumptions!G43</f>
        <v>1.32</v>
      </c>
      <c r="M10" s="100">
        <f t="shared" si="2"/>
        <v>14.190000000000001</v>
      </c>
      <c r="N10" s="107">
        <f t="shared" si="10"/>
        <v>6</v>
      </c>
      <c r="O10" s="108">
        <v>0</v>
      </c>
      <c r="P10" s="115">
        <f t="shared" si="3"/>
        <v>6</v>
      </c>
      <c r="Q10" s="116">
        <f t="shared" si="4"/>
        <v>20.19</v>
      </c>
      <c r="R10" s="82" t="str">
        <f t="shared" si="8"/>
        <v>Subsoiler</v>
      </c>
      <c r="S10" s="117">
        <f>(M10)/F10</f>
        <v>0.11352000000000001</v>
      </c>
      <c r="T10" s="84">
        <f>(P10)/F10</f>
        <v>0.048</v>
      </c>
      <c r="U10" s="96">
        <f>S10+T10</f>
        <v>0.16152</v>
      </c>
      <c r="V10" s="17"/>
    </row>
    <row r="11" spans="1:22" ht="12.75">
      <c r="A11" s="82" t="s">
        <v>251</v>
      </c>
      <c r="B11" s="439" t="s">
        <v>2</v>
      </c>
      <c r="C11" s="440">
        <v>1000</v>
      </c>
      <c r="D11" s="100">
        <v>100</v>
      </c>
      <c r="E11" s="442">
        <v>15</v>
      </c>
      <c r="F11" s="442">
        <v>100</v>
      </c>
      <c r="G11" s="81">
        <f t="shared" si="9"/>
        <v>60</v>
      </c>
      <c r="H11" s="90">
        <f t="shared" si="0"/>
        <v>60</v>
      </c>
      <c r="I11" s="103">
        <f>D11*0.09+H11*0.05</f>
        <v>12</v>
      </c>
      <c r="J11" s="100">
        <f>($C11+$D11)/2*Assumptions!G41</f>
        <v>38.50000000000001</v>
      </c>
      <c r="K11" s="100">
        <f>($C11+$D11)/2*Assumptions!G42</f>
        <v>4.4</v>
      </c>
      <c r="L11" s="100">
        <f>($C11+$D11)/2*Assumptions!G43</f>
        <v>4.4</v>
      </c>
      <c r="M11" s="100">
        <f t="shared" si="2"/>
        <v>47.300000000000004</v>
      </c>
      <c r="N11" s="107">
        <f t="shared" si="10"/>
        <v>20</v>
      </c>
      <c r="O11" s="108">
        <v>0</v>
      </c>
      <c r="P11" s="115">
        <f t="shared" si="3"/>
        <v>20</v>
      </c>
      <c r="Q11" s="116">
        <f t="shared" si="4"/>
        <v>67.30000000000001</v>
      </c>
      <c r="R11" s="82" t="str">
        <f t="shared" si="8"/>
        <v>Rotary Spreader</v>
      </c>
      <c r="S11" s="117">
        <f>(M11)/F11</f>
        <v>0.47300000000000003</v>
      </c>
      <c r="T11" s="84">
        <f>(P11)/F11</f>
        <v>0.2</v>
      </c>
      <c r="U11" s="96">
        <f>S11+T11</f>
        <v>0.673</v>
      </c>
      <c r="V11" s="17"/>
    </row>
    <row r="12" spans="1:22" ht="12.75">
      <c r="A12" s="82" t="s">
        <v>321</v>
      </c>
      <c r="B12" s="99" t="s">
        <v>2</v>
      </c>
      <c r="C12" s="440">
        <v>5000</v>
      </c>
      <c r="D12" s="100">
        <f>C12*0.22047</f>
        <v>1102.35</v>
      </c>
      <c r="E12" s="442">
        <v>15</v>
      </c>
      <c r="F12" s="442">
        <v>100</v>
      </c>
      <c r="G12" s="81">
        <f t="shared" si="9"/>
        <v>259.84333333333336</v>
      </c>
      <c r="H12" s="90">
        <f t="shared" si="0"/>
        <v>259.84333333333336</v>
      </c>
      <c r="I12" s="103">
        <f>D12*0.09+H12*0.05</f>
        <v>112.20366666666666</v>
      </c>
      <c r="J12" s="100">
        <f>($C12+$D12)/2*Assumptions!G41</f>
        <v>213.58225000000004</v>
      </c>
      <c r="K12" s="100">
        <f>($C12+$D12)/2*Assumptions!G42</f>
        <v>24.4094</v>
      </c>
      <c r="L12" s="100">
        <f>($C12+$D12)/2*Assumptions!G43</f>
        <v>24.4094</v>
      </c>
      <c r="M12" s="100">
        <f t="shared" si="2"/>
        <v>262.40105000000005</v>
      </c>
      <c r="N12" s="107">
        <f t="shared" si="10"/>
        <v>100</v>
      </c>
      <c r="O12" s="108">
        <v>0</v>
      </c>
      <c r="P12" s="115">
        <f t="shared" si="3"/>
        <v>100</v>
      </c>
      <c r="Q12" s="116">
        <f t="shared" si="4"/>
        <v>362.40105000000005</v>
      </c>
      <c r="R12" s="82" t="str">
        <f>A12</f>
        <v>Grain Drill</v>
      </c>
      <c r="S12" s="117">
        <f>(M12)/F12</f>
        <v>2.6240105000000007</v>
      </c>
      <c r="T12" s="84">
        <f>(P12)/F12</f>
        <v>1</v>
      </c>
      <c r="U12" s="96">
        <f>S12+T12</f>
        <v>3.6240105000000007</v>
      </c>
      <c r="V12" s="17"/>
    </row>
    <row r="13" spans="1:22" ht="12.75">
      <c r="A13" s="82" t="s">
        <v>350</v>
      </c>
      <c r="B13" s="99"/>
      <c r="C13" s="440">
        <v>3500</v>
      </c>
      <c r="D13" s="100">
        <f>C13*0.22047</f>
        <v>771.645</v>
      </c>
      <c r="E13" s="442">
        <v>15</v>
      </c>
      <c r="F13" s="442">
        <v>100</v>
      </c>
      <c r="G13" s="81">
        <f t="shared" si="9"/>
        <v>181.89033333333333</v>
      </c>
      <c r="H13" s="90">
        <f t="shared" si="0"/>
        <v>181.89033333333333</v>
      </c>
      <c r="I13" s="103">
        <f>D13*0.09+H13*0.05</f>
        <v>78.54256666666666</v>
      </c>
      <c r="J13" s="100">
        <f>($C13+$D13)/2*Assumptions!G41</f>
        <v>149.50757500000003</v>
      </c>
      <c r="K13" s="100">
        <f>($C13+$D13)/2*Assumptions!G42</f>
        <v>17.08658</v>
      </c>
      <c r="L13" s="100">
        <f>($C13+$D13)/2*Assumptions!G43</f>
        <v>17.08658</v>
      </c>
      <c r="M13" s="100">
        <f t="shared" si="2"/>
        <v>183.68073500000003</v>
      </c>
      <c r="N13" s="107">
        <f t="shared" si="10"/>
        <v>70</v>
      </c>
      <c r="O13" s="108">
        <v>0</v>
      </c>
      <c r="P13" s="115">
        <f t="shared" si="3"/>
        <v>70</v>
      </c>
      <c r="Q13" s="116">
        <f t="shared" si="4"/>
        <v>253.68073500000003</v>
      </c>
      <c r="R13" s="82" t="str">
        <f>A13</f>
        <v>Rototiller</v>
      </c>
      <c r="S13" s="117">
        <f>(M13)/F13</f>
        <v>1.8368073500000002</v>
      </c>
      <c r="T13" s="84">
        <f>(P13)/F13</f>
        <v>0.7</v>
      </c>
      <c r="U13" s="96">
        <f>S13+T13</f>
        <v>2.53680735</v>
      </c>
      <c r="V13" s="17"/>
    </row>
    <row r="14" spans="1:22" ht="12.75">
      <c r="A14" s="82" t="s">
        <v>96</v>
      </c>
      <c r="B14" s="99" t="s">
        <v>108</v>
      </c>
      <c r="C14" s="440">
        <v>2000</v>
      </c>
      <c r="D14" s="100">
        <f>C14*0.22047</f>
        <v>440.94</v>
      </c>
      <c r="E14" s="442">
        <v>15</v>
      </c>
      <c r="F14" s="442">
        <v>100</v>
      </c>
      <c r="G14" s="81">
        <f t="shared" si="9"/>
        <v>103.93733333333333</v>
      </c>
      <c r="H14" s="90">
        <f t="shared" si="0"/>
        <v>103.93733333333333</v>
      </c>
      <c r="I14" s="103">
        <f t="shared" si="1"/>
        <v>44.88146666666666</v>
      </c>
      <c r="J14" s="100">
        <f>($C14+$D14)/2*Assumptions!G41</f>
        <v>85.4329</v>
      </c>
      <c r="K14" s="100">
        <f>($C14+$D14)/2*Assumptions!G42</f>
        <v>9.76376</v>
      </c>
      <c r="L14" s="100">
        <f>($C14+$D14)/2*Assumptions!G43</f>
        <v>9.76376</v>
      </c>
      <c r="M14" s="100">
        <f t="shared" si="2"/>
        <v>104.96042000000001</v>
      </c>
      <c r="N14" s="107">
        <f t="shared" si="10"/>
        <v>40</v>
      </c>
      <c r="O14" s="108">
        <v>0</v>
      </c>
      <c r="P14" s="115">
        <f t="shared" si="3"/>
        <v>40</v>
      </c>
      <c r="Q14" s="116">
        <f t="shared" si="4"/>
        <v>144.96042</v>
      </c>
      <c r="R14" s="82" t="str">
        <f t="shared" si="8"/>
        <v>Utility Trailer</v>
      </c>
      <c r="S14" s="117">
        <f t="shared" si="5"/>
        <v>1.0496042</v>
      </c>
      <c r="T14" s="84">
        <f t="shared" si="6"/>
        <v>0.4</v>
      </c>
      <c r="U14" s="96">
        <f t="shared" si="7"/>
        <v>1.4496042</v>
      </c>
      <c r="V14" s="17"/>
    </row>
    <row r="15" spans="1:22" ht="12.75">
      <c r="A15" s="82" t="s">
        <v>103</v>
      </c>
      <c r="B15" s="99" t="s">
        <v>120</v>
      </c>
      <c r="C15" s="440">
        <v>7000</v>
      </c>
      <c r="D15" s="100">
        <f>0.22047*C15</f>
        <v>1543.29</v>
      </c>
      <c r="E15" s="442">
        <v>20</v>
      </c>
      <c r="F15" s="442">
        <v>10</v>
      </c>
      <c r="G15" s="81">
        <f t="shared" si="9"/>
        <v>272.8355</v>
      </c>
      <c r="H15" s="90">
        <f t="shared" si="0"/>
        <v>272.8355</v>
      </c>
      <c r="I15" s="103">
        <f t="shared" si="1"/>
        <v>152.53787499999999</v>
      </c>
      <c r="J15" s="100">
        <f>($C15+$D15)/2*Assumptions!G41</f>
        <v>299.01515000000006</v>
      </c>
      <c r="K15" s="100">
        <f>($C15+$D15)/2*Assumptions!G42</f>
        <v>34.17316</v>
      </c>
      <c r="L15" s="100">
        <f>($C15+$D15)/2*Assumptions!G43</f>
        <v>34.17316</v>
      </c>
      <c r="M15" s="100">
        <f t="shared" si="2"/>
        <v>367.36147000000005</v>
      </c>
      <c r="N15" s="107">
        <f>(0.52*C15)/E15</f>
        <v>182</v>
      </c>
      <c r="O15" s="108">
        <v>0</v>
      </c>
      <c r="P15" s="115">
        <f t="shared" si="3"/>
        <v>182</v>
      </c>
      <c r="Q15" s="116">
        <f t="shared" si="4"/>
        <v>549.36147</v>
      </c>
      <c r="R15" s="82" t="str">
        <f t="shared" si="8"/>
        <v>Plastic Layer / Fumigator</v>
      </c>
      <c r="S15" s="117">
        <f t="shared" si="5"/>
        <v>36.736147</v>
      </c>
      <c r="T15" s="84">
        <f t="shared" si="6"/>
        <v>18.2</v>
      </c>
      <c r="U15" s="96">
        <f t="shared" si="7"/>
        <v>54.936147000000005</v>
      </c>
      <c r="V15" s="17"/>
    </row>
    <row r="16" spans="1:22" ht="12.75">
      <c r="A16" s="82" t="s">
        <v>348</v>
      </c>
      <c r="B16" s="99"/>
      <c r="C16" s="440">
        <v>7000</v>
      </c>
      <c r="D16" s="100">
        <v>100</v>
      </c>
      <c r="E16" s="442">
        <v>20</v>
      </c>
      <c r="F16" s="442">
        <v>10</v>
      </c>
      <c r="G16" s="81">
        <f t="shared" si="9"/>
        <v>345</v>
      </c>
      <c r="H16" s="90">
        <f t="shared" si="0"/>
        <v>345</v>
      </c>
      <c r="I16" s="103">
        <f>D16*0.09+H16*0.05</f>
        <v>26.25</v>
      </c>
      <c r="J16" s="100">
        <f>($C16+$D16)/2*Assumptions!G41</f>
        <v>248.50000000000003</v>
      </c>
      <c r="K16" s="100">
        <f>($C16+$D16)/2*Assumptions!G42</f>
        <v>28.400000000000002</v>
      </c>
      <c r="L16" s="100">
        <f>($C16+$D16)/2*Assumptions!G43</f>
        <v>28.400000000000002</v>
      </c>
      <c r="M16" s="100">
        <f t="shared" si="2"/>
        <v>305.3</v>
      </c>
      <c r="N16" s="107">
        <f>(0.52*C16)/E16</f>
        <v>182</v>
      </c>
      <c r="O16" s="108">
        <v>0</v>
      </c>
      <c r="P16" s="115">
        <f t="shared" si="3"/>
        <v>182</v>
      </c>
      <c r="Q16" s="116">
        <f t="shared" si="4"/>
        <v>487.3</v>
      </c>
      <c r="R16" s="82" t="str">
        <f t="shared" si="8"/>
        <v>Fumigation Rig (modified)</v>
      </c>
      <c r="S16" s="117">
        <f>(M16)/F16</f>
        <v>30.53</v>
      </c>
      <c r="T16" s="84">
        <f>(P16)/F16</f>
        <v>18.2</v>
      </c>
      <c r="U16" s="96">
        <f>S16+T16</f>
        <v>48.730000000000004</v>
      </c>
      <c r="V16" s="17"/>
    </row>
    <row r="17" spans="1:22" ht="12.75">
      <c r="A17" s="83" t="s">
        <v>99</v>
      </c>
      <c r="B17" s="102">
        <v>400</v>
      </c>
      <c r="C17" s="440">
        <v>400</v>
      </c>
      <c r="D17" s="100">
        <f>C17*0.22407</f>
        <v>89.628</v>
      </c>
      <c r="E17" s="442">
        <v>10</v>
      </c>
      <c r="F17" s="442">
        <v>150</v>
      </c>
      <c r="G17" s="81">
        <f t="shared" si="9"/>
        <v>31.037200000000002</v>
      </c>
      <c r="H17" s="90">
        <f t="shared" si="0"/>
        <v>31.037200000000002</v>
      </c>
      <c r="I17" s="103">
        <f t="shared" si="1"/>
        <v>9.61838</v>
      </c>
      <c r="J17" s="100">
        <f>($C17+$D17)/2*Assumptions!G41</f>
        <v>17.13698</v>
      </c>
      <c r="K17" s="100">
        <f>($C17+$D17)/2*Assumptions!G42</f>
        <v>1.958512</v>
      </c>
      <c r="L17" s="100">
        <f>($C17+$D17)/2*Assumptions!G43</f>
        <v>1.958512</v>
      </c>
      <c r="M17" s="100">
        <f t="shared" si="2"/>
        <v>21.054004</v>
      </c>
      <c r="N17" s="107">
        <f>(0.3*C17)/E17</f>
        <v>12</v>
      </c>
      <c r="O17" s="108">
        <v>0</v>
      </c>
      <c r="P17" s="115">
        <f t="shared" si="3"/>
        <v>12</v>
      </c>
      <c r="Q17" s="116">
        <f t="shared" si="4"/>
        <v>33.054004</v>
      </c>
      <c r="R17" s="82" t="str">
        <f t="shared" si="8"/>
        <v>Fertilizer Injector</v>
      </c>
      <c r="S17" s="117">
        <f t="shared" si="5"/>
        <v>0.14036002666666667</v>
      </c>
      <c r="T17" s="84">
        <f t="shared" si="6"/>
        <v>0.08</v>
      </c>
      <c r="U17" s="96">
        <f t="shared" si="7"/>
        <v>0.22036002666666665</v>
      </c>
      <c r="V17" s="17"/>
    </row>
    <row r="18" spans="1:22" ht="12.75">
      <c r="A18" s="83" t="s">
        <v>347</v>
      </c>
      <c r="B18" s="102"/>
      <c r="C18" s="440">
        <v>800</v>
      </c>
      <c r="D18" s="100">
        <f>C18*0.22047</f>
        <v>176.376</v>
      </c>
      <c r="E18" s="442">
        <v>20</v>
      </c>
      <c r="F18" s="442">
        <v>40</v>
      </c>
      <c r="G18" s="81"/>
      <c r="H18" s="90">
        <f t="shared" si="0"/>
        <v>31.1812</v>
      </c>
      <c r="I18" s="103">
        <f>D18*0.09+H18*0.05</f>
        <v>17.4329</v>
      </c>
      <c r="J18" s="100">
        <f>($C18+$D18)/2*Assumptions!G41</f>
        <v>34.17316</v>
      </c>
      <c r="K18" s="100">
        <f>($C18+$D18)/2*Assumptions!G42</f>
        <v>3.905504</v>
      </c>
      <c r="L18" s="100">
        <f>($C18+$D18)/2*Assumptions!G43</f>
        <v>3.905504</v>
      </c>
      <c r="M18" s="100">
        <f t="shared" si="2"/>
        <v>41.984168000000004</v>
      </c>
      <c r="N18" s="107">
        <f>(0.3*C18)/E18</f>
        <v>12</v>
      </c>
      <c r="O18" s="108">
        <v>0</v>
      </c>
      <c r="P18" s="115">
        <f t="shared" si="3"/>
        <v>12</v>
      </c>
      <c r="Q18" s="116">
        <f t="shared" si="4"/>
        <v>53.984168000000004</v>
      </c>
      <c r="R18" s="82" t="str">
        <f t="shared" si="8"/>
        <v>Fertilizer Injector (modified)</v>
      </c>
      <c r="S18" s="117">
        <f>(M18)/F18</f>
        <v>1.0496042</v>
      </c>
      <c r="T18" s="84">
        <f>(P18)/F18</f>
        <v>0.3</v>
      </c>
      <c r="U18" s="96">
        <f>S18+T18</f>
        <v>1.3496042000000001</v>
      </c>
      <c r="V18" s="17"/>
    </row>
    <row r="19" spans="1:22" ht="13.5" thickBot="1">
      <c r="A19" s="83" t="s">
        <v>121</v>
      </c>
      <c r="B19" s="102" t="s">
        <v>120</v>
      </c>
      <c r="C19" s="440">
        <v>13275</v>
      </c>
      <c r="D19" s="100">
        <v>0</v>
      </c>
      <c r="E19" s="442">
        <v>10</v>
      </c>
      <c r="F19" s="442">
        <v>150</v>
      </c>
      <c r="G19" s="81">
        <f>($C19-$D19)/$E19</f>
        <v>1327.5</v>
      </c>
      <c r="H19" s="89">
        <f t="shared" si="0"/>
        <v>1327.5</v>
      </c>
      <c r="I19" s="104">
        <f t="shared" si="1"/>
        <v>66.375</v>
      </c>
      <c r="J19" s="100">
        <f>($C19+$D19)/2*Assumptions!G41</f>
        <v>464.62500000000006</v>
      </c>
      <c r="K19" s="100">
        <f>($C19+$D19)/2*Assumptions!G42</f>
        <v>53.1</v>
      </c>
      <c r="L19" s="100">
        <f>($C19+$D19)/2*Assumptions!G43</f>
        <v>53.1</v>
      </c>
      <c r="M19" s="100">
        <f>$J19+$K19+$L19</f>
        <v>570.825</v>
      </c>
      <c r="N19" s="107">
        <f>0.05*(C19-7250)</f>
        <v>301.25</v>
      </c>
      <c r="O19" s="108">
        <v>500</v>
      </c>
      <c r="P19" s="115">
        <f>SUM($N19:$O19)</f>
        <v>801.25</v>
      </c>
      <c r="Q19" s="116">
        <f t="shared" si="4"/>
        <v>1372.075</v>
      </c>
      <c r="R19" s="82" t="str">
        <f t="shared" si="8"/>
        <v>Drip Irrigation Syst. &amp; Pump**</v>
      </c>
      <c r="S19" s="117">
        <f t="shared" si="5"/>
        <v>3.8055000000000003</v>
      </c>
      <c r="T19" s="84">
        <f t="shared" si="6"/>
        <v>5.341666666666667</v>
      </c>
      <c r="U19" s="96">
        <f t="shared" si="7"/>
        <v>9.147166666666667</v>
      </c>
      <c r="V19" s="17"/>
    </row>
    <row r="20" spans="1:21" ht="37.5" customHeight="1" thickBot="1" thickTop="1">
      <c r="A20" s="91" t="s">
        <v>222</v>
      </c>
      <c r="B20" s="122"/>
      <c r="C20" s="120" t="s">
        <v>84</v>
      </c>
      <c r="D20" s="120" t="s">
        <v>85</v>
      </c>
      <c r="E20" s="120" t="s">
        <v>86</v>
      </c>
      <c r="F20" s="92" t="s">
        <v>128</v>
      </c>
      <c r="G20" s="92" t="s">
        <v>87</v>
      </c>
      <c r="H20" s="93" t="s">
        <v>217</v>
      </c>
      <c r="I20" s="94" t="s">
        <v>214</v>
      </c>
      <c r="J20" s="120" t="s">
        <v>89</v>
      </c>
      <c r="K20" s="120" t="s">
        <v>88</v>
      </c>
      <c r="L20" s="120" t="s">
        <v>24</v>
      </c>
      <c r="M20" s="120" t="s">
        <v>90</v>
      </c>
      <c r="N20" s="120" t="s">
        <v>219</v>
      </c>
      <c r="O20" s="120" t="s">
        <v>218</v>
      </c>
      <c r="P20" s="120" t="s">
        <v>91</v>
      </c>
      <c r="Q20" s="121" t="s">
        <v>220</v>
      </c>
      <c r="R20" s="91" t="s">
        <v>222</v>
      </c>
      <c r="S20" s="118" t="s">
        <v>215</v>
      </c>
      <c r="T20" s="118" t="s">
        <v>216</v>
      </c>
      <c r="U20" s="119" t="s">
        <v>221</v>
      </c>
    </row>
    <row r="21" spans="1:23" ht="15" customHeight="1" thickTop="1">
      <c r="A21" s="109" t="s">
        <v>97</v>
      </c>
      <c r="B21" s="110" t="s">
        <v>120</v>
      </c>
      <c r="C21" s="441">
        <v>25000</v>
      </c>
      <c r="D21" s="98">
        <v>5000</v>
      </c>
      <c r="E21" s="444">
        <v>10</v>
      </c>
      <c r="F21" s="445">
        <v>24000</v>
      </c>
      <c r="G21" s="97">
        <f>($C21-$D21)/$E21</f>
        <v>2000</v>
      </c>
      <c r="H21" s="97"/>
      <c r="I21" s="97"/>
      <c r="J21" s="97">
        <f>($C21+$D21)/2*Assumptions!G41</f>
        <v>1050</v>
      </c>
      <c r="K21" s="97">
        <f>($C21+$D21)/2*Assumptions!G42</f>
        <v>120</v>
      </c>
      <c r="L21" s="97">
        <f>($C21+$D21)/2*Assumptions!G43</f>
        <v>120</v>
      </c>
      <c r="M21" s="97">
        <f>$J21+$K21+$L21</f>
        <v>1290</v>
      </c>
      <c r="N21" s="105">
        <f>(0.3*C21)/E21</f>
        <v>750</v>
      </c>
      <c r="O21" s="106">
        <f>((1/Assumptions!E51)*Assumptions!B51*F21)+(((1/Assumptions!E51)*Assumptions!B51*F21)*Assumptions!D51)</f>
        <v>5712</v>
      </c>
      <c r="P21" s="111">
        <f>SUM($N21:$O21)</f>
        <v>6462</v>
      </c>
      <c r="Q21" s="106">
        <f>$M21+$P21</f>
        <v>7752</v>
      </c>
      <c r="R21" s="112" t="s">
        <v>97</v>
      </c>
      <c r="S21" s="113">
        <f>(M21)/F21</f>
        <v>0.05375</v>
      </c>
      <c r="T21" s="113">
        <f t="shared" si="6"/>
        <v>0.26925</v>
      </c>
      <c r="U21" s="114">
        <f t="shared" si="7"/>
        <v>0.323</v>
      </c>
      <c r="V21" s="37">
        <f>U21*50</f>
        <v>16.150000000000002</v>
      </c>
      <c r="W21" s="17"/>
    </row>
    <row r="22" spans="1:17" ht="0.75" customHeight="1">
      <c r="A22" s="25"/>
      <c r="B22" s="30"/>
      <c r="C22" s="26"/>
      <c r="D22" s="26"/>
      <c r="E22" s="26"/>
      <c r="F22" s="26"/>
      <c r="G22" s="27"/>
      <c r="H22" s="27"/>
      <c r="I22" s="27"/>
      <c r="J22" s="27"/>
      <c r="K22" s="27"/>
      <c r="L22" s="27"/>
      <c r="M22" s="27"/>
      <c r="N22" s="28"/>
      <c r="O22" s="28"/>
      <c r="P22" s="29"/>
      <c r="Q22" s="28"/>
    </row>
    <row r="23" spans="1:17" ht="0.75" customHeight="1" thickBot="1">
      <c r="A23" s="43"/>
      <c r="B23" s="44"/>
      <c r="C23" s="39"/>
      <c r="D23" s="39"/>
      <c r="E23" s="39"/>
      <c r="F23" s="39"/>
      <c r="G23" s="40"/>
      <c r="H23" s="40"/>
      <c r="I23" s="40"/>
      <c r="J23" s="40"/>
      <c r="K23" s="40"/>
      <c r="L23" s="40"/>
      <c r="M23" s="40"/>
      <c r="N23" s="41"/>
      <c r="O23" s="41"/>
      <c r="P23" s="45"/>
      <c r="Q23" s="41"/>
    </row>
    <row r="24" spans="1:17" ht="16.5" customHeight="1" thickBot="1" thickTop="1">
      <c r="A24" s="85" t="s">
        <v>98</v>
      </c>
      <c r="B24" s="86"/>
      <c r="C24" s="87"/>
      <c r="D24" s="87"/>
      <c r="E24" s="87"/>
      <c r="F24" s="87"/>
      <c r="G24" s="88"/>
      <c r="H24" s="88"/>
      <c r="I24" s="88"/>
      <c r="J24" s="88"/>
      <c r="K24" s="88"/>
      <c r="L24" s="88"/>
      <c r="M24" s="88">
        <f>SUM(M4:M19)+M21</f>
        <v>5287.365548500001</v>
      </c>
      <c r="N24" s="88"/>
      <c r="O24" s="88"/>
      <c r="P24" s="88">
        <f>SUM(P4:P19)+P21</f>
        <v>13828.666666666668</v>
      </c>
      <c r="Q24" s="88">
        <f>SUM(Q4:Q19)+Q21</f>
        <v>19116.032215166666</v>
      </c>
    </row>
    <row r="25" spans="11:15" ht="13.5" thickTop="1">
      <c r="K25" s="71"/>
      <c r="L25" s="71"/>
      <c r="M25" s="71"/>
      <c r="N25" s="71"/>
      <c r="O25" s="71"/>
    </row>
    <row r="26" spans="11:15" ht="12.75">
      <c r="K26" s="71"/>
      <c r="L26" s="32" t="s">
        <v>2</v>
      </c>
      <c r="M26" s="32"/>
      <c r="N26" s="199"/>
      <c r="O26" s="32"/>
    </row>
    <row r="27" spans="12:15" ht="12.75">
      <c r="L27" s="61" t="s">
        <v>2</v>
      </c>
      <c r="M27" s="61"/>
      <c r="N27" s="61"/>
      <c r="O27" s="61"/>
    </row>
    <row r="28" spans="1:15" ht="12.75">
      <c r="A28" s="75"/>
      <c r="B28" s="75"/>
      <c r="C28" s="124"/>
      <c r="L28" s="61" t="s">
        <v>2</v>
      </c>
      <c r="M28" s="61" t="s">
        <v>2</v>
      </c>
      <c r="N28" s="61"/>
      <c r="O28" s="61"/>
    </row>
    <row r="29" spans="1:3" ht="12.75">
      <c r="A29" s="125"/>
      <c r="B29" s="75"/>
      <c r="C29" s="124"/>
    </row>
    <row r="30" ht="12.75">
      <c r="B30" s="125"/>
    </row>
    <row r="31" ht="12.75">
      <c r="B31" s="75"/>
    </row>
    <row r="32" spans="1:3" ht="12.75">
      <c r="A32" s="75"/>
      <c r="B32" s="75"/>
      <c r="C32" s="75"/>
    </row>
    <row r="33" spans="1:10" ht="12.75">
      <c r="A33" s="75"/>
      <c r="B33" s="75"/>
      <c r="C33" s="75"/>
      <c r="J33" s="75"/>
    </row>
    <row r="34" ht="12.75">
      <c r="C34" s="75"/>
    </row>
    <row r="35" ht="12.75">
      <c r="C35" s="75"/>
    </row>
    <row r="36" ht="12.75">
      <c r="C36" s="75"/>
    </row>
  </sheetData>
  <sheetProtection password="EB79" sheet="1" objects="1" scenarios="1" selectLockedCells="1"/>
  <mergeCells count="1">
    <mergeCell ref="S2:U2"/>
  </mergeCells>
  <printOptions/>
  <pageMargins left="0.29" right="0.21" top="0.53" bottom="0.41" header="0.5" footer="0.4"/>
  <pageSetup fitToHeight="1" fitToWidth="1" horizontalDpi="600" verticalDpi="600" orientation="landscape" scale="56" r:id="rId1"/>
</worksheet>
</file>

<file path=xl/worksheets/sheet7.xml><?xml version="1.0" encoding="utf-8"?>
<worksheet xmlns="http://schemas.openxmlformats.org/spreadsheetml/2006/main" xmlns:r="http://schemas.openxmlformats.org/officeDocument/2006/relationships">
  <sheetPr>
    <tabColor indexed="10"/>
  </sheetPr>
  <dimension ref="A1:J55"/>
  <sheetViews>
    <sheetView showGridLines="0" zoomScalePageLayoutView="0" workbookViewId="0" topLeftCell="A1">
      <selection activeCell="D36" sqref="D36"/>
    </sheetView>
  </sheetViews>
  <sheetFormatPr defaultColWidth="9.140625" defaultRowHeight="12.75"/>
  <cols>
    <col min="1" max="1" width="50.7109375" style="0" customWidth="1"/>
    <col min="2" max="2" width="9.28125" style="0" bestFit="1" customWidth="1"/>
    <col min="5" max="5" width="9.140625" style="0" customWidth="1"/>
    <col min="7" max="7" width="9.140625" style="6" customWidth="1"/>
  </cols>
  <sheetData>
    <row r="1" spans="1:7" ht="12.75">
      <c r="A1" s="4" t="s">
        <v>322</v>
      </c>
      <c r="B1" s="7"/>
      <c r="C1" s="8"/>
      <c r="D1" s="9"/>
      <c r="E1" s="10"/>
      <c r="F1" s="10"/>
      <c r="G1" s="24"/>
    </row>
    <row r="2" spans="2:7" ht="13.5" thickBot="1">
      <c r="B2" s="7"/>
      <c r="C2" s="8"/>
      <c r="D2" s="9"/>
      <c r="E2" s="10"/>
      <c r="F2" s="10"/>
      <c r="G2" s="24"/>
    </row>
    <row r="3" spans="1:7" ht="13.5" thickTop="1">
      <c r="A3" s="127" t="s">
        <v>68</v>
      </c>
      <c r="B3" s="128" t="s">
        <v>69</v>
      </c>
      <c r="C3" s="129" t="s">
        <v>70</v>
      </c>
      <c r="D3" s="130" t="s">
        <v>71</v>
      </c>
      <c r="E3" s="130" t="s">
        <v>71</v>
      </c>
      <c r="F3" s="130" t="s">
        <v>71</v>
      </c>
      <c r="G3" s="204" t="s">
        <v>30</v>
      </c>
    </row>
    <row r="4" spans="1:7" ht="13.5" thickBot="1">
      <c r="A4" s="131" t="s">
        <v>2</v>
      </c>
      <c r="B4" s="132" t="s">
        <v>72</v>
      </c>
      <c r="C4" s="133" t="s">
        <v>2</v>
      </c>
      <c r="D4" s="134" t="s">
        <v>70</v>
      </c>
      <c r="E4" s="134" t="s">
        <v>72</v>
      </c>
      <c r="F4" s="134"/>
      <c r="G4" s="205" t="s">
        <v>67</v>
      </c>
    </row>
    <row r="5" spans="1:7" ht="13.5" thickBot="1">
      <c r="A5" s="135"/>
      <c r="B5" s="136"/>
      <c r="C5" s="137"/>
      <c r="D5" s="138"/>
      <c r="E5" s="138"/>
      <c r="F5" s="138"/>
      <c r="G5" s="206"/>
    </row>
    <row r="6" spans="1:7" ht="13.5" thickBot="1">
      <c r="A6" s="139" t="s">
        <v>73</v>
      </c>
      <c r="B6" s="140"/>
      <c r="C6" s="141"/>
      <c r="D6" s="142"/>
      <c r="E6" s="142"/>
      <c r="F6" s="142"/>
      <c r="G6" s="207"/>
    </row>
    <row r="7" spans="1:8" ht="12.75" customHeight="1" thickBot="1">
      <c r="A7" s="143" t="s">
        <v>381</v>
      </c>
      <c r="B7" s="404">
        <v>150</v>
      </c>
      <c r="C7" s="144" t="s">
        <v>44</v>
      </c>
      <c r="D7" s="414">
        <v>3.25</v>
      </c>
      <c r="E7" s="153">
        <f>B7*D7</f>
        <v>487.5</v>
      </c>
      <c r="F7" s="249" t="s">
        <v>2</v>
      </c>
      <c r="G7" s="256">
        <f>E7</f>
        <v>487.5</v>
      </c>
      <c r="H7" s="17"/>
    </row>
    <row r="8" spans="1:7" ht="13.5" thickBot="1">
      <c r="A8" s="145" t="s">
        <v>74</v>
      </c>
      <c r="B8" s="146"/>
      <c r="C8" s="147"/>
      <c r="D8" s="148"/>
      <c r="E8" s="148"/>
      <c r="F8" s="250"/>
      <c r="G8" s="262">
        <f>SUM(G7:G7)</f>
        <v>487.5</v>
      </c>
    </row>
    <row r="9" spans="1:7" ht="13.5" thickBot="1">
      <c r="A9" s="139" t="s">
        <v>114</v>
      </c>
      <c r="B9" s="140" t="s">
        <v>2</v>
      </c>
      <c r="C9" s="149" t="s">
        <v>2</v>
      </c>
      <c r="D9" s="142" t="s">
        <v>2</v>
      </c>
      <c r="E9" s="142" t="s">
        <v>2</v>
      </c>
      <c r="F9" s="251"/>
      <c r="G9" s="258"/>
    </row>
    <row r="10" spans="1:8" ht="13.5" thickBot="1">
      <c r="A10" s="243" t="s">
        <v>250</v>
      </c>
      <c r="B10" s="405">
        <v>750</v>
      </c>
      <c r="C10" s="152" t="s">
        <v>44</v>
      </c>
      <c r="D10" s="415">
        <v>0.17</v>
      </c>
      <c r="E10" s="153">
        <f>B10*D10</f>
        <v>127.50000000000001</v>
      </c>
      <c r="F10" s="249"/>
      <c r="G10" s="256">
        <f>E10</f>
        <v>127.50000000000001</v>
      </c>
      <c r="H10" s="17"/>
    </row>
    <row r="11" spans="1:8" ht="12.75">
      <c r="A11" s="243" t="s">
        <v>259</v>
      </c>
      <c r="B11" s="405">
        <v>1</v>
      </c>
      <c r="C11" s="152" t="s">
        <v>44</v>
      </c>
      <c r="D11" s="415">
        <v>0.83</v>
      </c>
      <c r="E11" s="153">
        <f>B11*D11</f>
        <v>0.83</v>
      </c>
      <c r="F11" s="249"/>
      <c r="G11" s="256">
        <f>E11</f>
        <v>0.83</v>
      </c>
      <c r="H11" s="17"/>
    </row>
    <row r="12" spans="1:8" ht="12.75">
      <c r="A12" s="101" t="s">
        <v>283</v>
      </c>
      <c r="B12" s="406">
        <v>336.96</v>
      </c>
      <c r="C12" s="154" t="s">
        <v>44</v>
      </c>
      <c r="D12" s="416">
        <v>0.25</v>
      </c>
      <c r="E12" s="155">
        <f>B12*D12</f>
        <v>84.24</v>
      </c>
      <c r="F12" s="249">
        <v>3</v>
      </c>
      <c r="G12" s="256">
        <f>E12*F12</f>
        <v>252.71999999999997</v>
      </c>
      <c r="H12" s="17"/>
    </row>
    <row r="13" spans="1:8" ht="13.5" thickBot="1">
      <c r="A13" s="101" t="s">
        <v>284</v>
      </c>
      <c r="B13" s="406">
        <v>168.48</v>
      </c>
      <c r="C13" s="154" t="s">
        <v>44</v>
      </c>
      <c r="D13" s="417">
        <v>0.75</v>
      </c>
      <c r="E13" s="156">
        <f>D13*B13</f>
        <v>126.35999999999999</v>
      </c>
      <c r="F13" s="252">
        <v>3</v>
      </c>
      <c r="G13" s="256">
        <f>E13*F13</f>
        <v>379.0799999999999</v>
      </c>
      <c r="H13" s="17"/>
    </row>
    <row r="14" spans="1:7" ht="13.5" thickBot="1">
      <c r="A14" s="145" t="s">
        <v>113</v>
      </c>
      <c r="B14" s="146" t="s">
        <v>2</v>
      </c>
      <c r="C14" s="150" t="s">
        <v>2</v>
      </c>
      <c r="D14" s="148" t="s">
        <v>2</v>
      </c>
      <c r="E14" s="148"/>
      <c r="F14" s="250"/>
      <c r="G14" s="402">
        <f>SUM(G10:G13)</f>
        <v>760.1299999999999</v>
      </c>
    </row>
    <row r="15" spans="1:10" ht="13.5" thickBot="1">
      <c r="A15" s="139" t="s">
        <v>75</v>
      </c>
      <c r="B15" s="140" t="s">
        <v>2</v>
      </c>
      <c r="C15" s="141" t="s">
        <v>2</v>
      </c>
      <c r="D15" s="142" t="s">
        <v>2</v>
      </c>
      <c r="E15" s="142" t="s">
        <v>2</v>
      </c>
      <c r="F15" s="251"/>
      <c r="G15" s="258"/>
      <c r="J15" s="403"/>
    </row>
    <row r="16" spans="1:8" ht="12.75">
      <c r="A16" s="159" t="s">
        <v>281</v>
      </c>
      <c r="B16" s="405">
        <v>1.5</v>
      </c>
      <c r="C16" s="152" t="s">
        <v>294</v>
      </c>
      <c r="D16" s="418">
        <v>5.25</v>
      </c>
      <c r="E16" s="160">
        <f>B16*D16</f>
        <v>7.875</v>
      </c>
      <c r="F16" s="252">
        <v>2</v>
      </c>
      <c r="G16" s="256">
        <f>E16*F16</f>
        <v>15.75</v>
      </c>
      <c r="H16" s="17"/>
    </row>
    <row r="17" spans="1:8" ht="12.75">
      <c r="A17" s="161" t="s">
        <v>282</v>
      </c>
      <c r="B17" s="406">
        <v>0.5</v>
      </c>
      <c r="C17" s="154" t="s">
        <v>44</v>
      </c>
      <c r="D17" s="417">
        <v>11.8</v>
      </c>
      <c r="E17" s="156">
        <f>B17*D17</f>
        <v>5.9</v>
      </c>
      <c r="F17" s="252"/>
      <c r="G17" s="256">
        <f>E17</f>
        <v>5.9</v>
      </c>
      <c r="H17" s="58"/>
    </row>
    <row r="18" spans="1:8" ht="13.5" thickBot="1">
      <c r="A18" s="162" t="s">
        <v>298</v>
      </c>
      <c r="B18" s="407">
        <v>1</v>
      </c>
      <c r="C18" s="157" t="s">
        <v>294</v>
      </c>
      <c r="D18" s="419">
        <v>9.87</v>
      </c>
      <c r="E18" s="158">
        <f>B18*D18</f>
        <v>9.87</v>
      </c>
      <c r="F18" s="252"/>
      <c r="G18" s="256">
        <f>E18</f>
        <v>9.87</v>
      </c>
      <c r="H18" s="58"/>
    </row>
    <row r="19" spans="1:7" ht="13.5" thickBot="1">
      <c r="A19" s="151" t="s">
        <v>76</v>
      </c>
      <c r="B19" s="146" t="s">
        <v>2</v>
      </c>
      <c r="C19" s="147" t="s">
        <v>2</v>
      </c>
      <c r="D19" s="148" t="s">
        <v>2</v>
      </c>
      <c r="E19" s="148"/>
      <c r="F19" s="250"/>
      <c r="G19" s="148">
        <f>SUM(G16:G18)</f>
        <v>31.519999999999996</v>
      </c>
    </row>
    <row r="20" spans="1:7" ht="13.5" thickBot="1">
      <c r="A20" s="139" t="s">
        <v>111</v>
      </c>
      <c r="B20" s="140" t="s">
        <v>2</v>
      </c>
      <c r="C20" s="149" t="s">
        <v>2</v>
      </c>
      <c r="D20" s="142" t="s">
        <v>2</v>
      </c>
      <c r="E20" s="142" t="s">
        <v>2</v>
      </c>
      <c r="F20" s="251"/>
      <c r="G20" s="258"/>
    </row>
    <row r="21" spans="1:8" ht="13.5" thickBot="1">
      <c r="A21" s="163" t="s">
        <v>273</v>
      </c>
      <c r="B21" s="408">
        <v>6</v>
      </c>
      <c r="C21" s="164" t="s">
        <v>62</v>
      </c>
      <c r="D21" s="420">
        <v>5.25</v>
      </c>
      <c r="E21" s="158">
        <f>B21*D21</f>
        <v>31.5</v>
      </c>
      <c r="F21" s="252">
        <v>3</v>
      </c>
      <c r="G21" s="256">
        <f>E21*F21</f>
        <v>94.5</v>
      </c>
      <c r="H21" s="17"/>
    </row>
    <row r="22" spans="1:8" ht="13.5" thickBot="1">
      <c r="A22" s="165" t="s">
        <v>272</v>
      </c>
      <c r="B22" s="409">
        <v>0.75</v>
      </c>
      <c r="C22" s="166" t="s">
        <v>294</v>
      </c>
      <c r="D22" s="421">
        <v>5.85</v>
      </c>
      <c r="E22" s="158">
        <f>B22*D22</f>
        <v>4.387499999999999</v>
      </c>
      <c r="F22" s="252"/>
      <c r="G22" s="256">
        <f>E22</f>
        <v>4.387499999999999</v>
      </c>
      <c r="H22" s="17"/>
    </row>
    <row r="23" spans="1:8" ht="13.5" thickBot="1">
      <c r="A23" s="167" t="s">
        <v>293</v>
      </c>
      <c r="B23" s="410">
        <v>6</v>
      </c>
      <c r="C23" s="168" t="s">
        <v>62</v>
      </c>
      <c r="D23" s="422">
        <v>0.71</v>
      </c>
      <c r="E23" s="169">
        <f>D23*B23</f>
        <v>4.26</v>
      </c>
      <c r="F23" s="35">
        <v>8</v>
      </c>
      <c r="G23" s="256">
        <f>E23*F23</f>
        <v>34.08</v>
      </c>
      <c r="H23" s="17"/>
    </row>
    <row r="24" spans="1:7" ht="13.5" thickBot="1">
      <c r="A24" s="145" t="s">
        <v>112</v>
      </c>
      <c r="B24" s="146" t="s">
        <v>2</v>
      </c>
      <c r="C24" s="150" t="s">
        <v>2</v>
      </c>
      <c r="D24" s="148" t="s">
        <v>2</v>
      </c>
      <c r="E24" s="148"/>
      <c r="F24" s="250"/>
      <c r="G24" s="148">
        <f>SUM(G21:G23)</f>
        <v>132.9675</v>
      </c>
    </row>
    <row r="25" spans="1:7" ht="13.5" thickBot="1">
      <c r="A25" s="139" t="s">
        <v>77</v>
      </c>
      <c r="B25" s="140" t="s">
        <v>2</v>
      </c>
      <c r="C25" s="149" t="s">
        <v>2</v>
      </c>
      <c r="D25" s="142" t="s">
        <v>2</v>
      </c>
      <c r="E25" s="142" t="s">
        <v>2</v>
      </c>
      <c r="F25" s="251"/>
      <c r="G25" s="258"/>
    </row>
    <row r="26" spans="1:7" ht="12.75">
      <c r="A26" s="170" t="s">
        <v>275</v>
      </c>
      <c r="B26" s="411">
        <v>6</v>
      </c>
      <c r="C26" s="164" t="s">
        <v>62</v>
      </c>
      <c r="D26" s="423">
        <v>2.71</v>
      </c>
      <c r="E26" s="153">
        <f>B26*D26</f>
        <v>16.259999999999998</v>
      </c>
      <c r="F26" s="249">
        <v>4</v>
      </c>
      <c r="G26" s="256">
        <f>E26*F26</f>
        <v>65.03999999999999</v>
      </c>
    </row>
    <row r="27" spans="1:7" ht="12.75">
      <c r="A27" s="161" t="s">
        <v>276</v>
      </c>
      <c r="B27" s="412">
        <v>1.5</v>
      </c>
      <c r="C27" s="154" t="s">
        <v>44</v>
      </c>
      <c r="D27" s="416">
        <v>8.17</v>
      </c>
      <c r="E27" s="156">
        <f>B27*D27</f>
        <v>12.254999999999999</v>
      </c>
      <c r="F27" s="252">
        <v>4</v>
      </c>
      <c r="G27" s="256">
        <f>E27*F27</f>
        <v>49.019999999999996</v>
      </c>
    </row>
    <row r="28" spans="1:7" ht="12.75">
      <c r="A28" s="171" t="s">
        <v>295</v>
      </c>
      <c r="B28" s="413">
        <v>2</v>
      </c>
      <c r="C28" s="166" t="s">
        <v>44</v>
      </c>
      <c r="D28" s="424">
        <v>7</v>
      </c>
      <c r="E28" s="172">
        <f>D28*B28</f>
        <v>14</v>
      </c>
      <c r="F28" s="35">
        <v>4</v>
      </c>
      <c r="G28" s="256">
        <f>E28*F28</f>
        <v>56</v>
      </c>
    </row>
    <row r="29" spans="1:7" ht="12.75">
      <c r="A29" s="171" t="s">
        <v>296</v>
      </c>
      <c r="B29" s="413">
        <v>1</v>
      </c>
      <c r="C29" s="166" t="s">
        <v>62</v>
      </c>
      <c r="D29" s="424">
        <v>50</v>
      </c>
      <c r="E29" s="172">
        <f>D29*B29</f>
        <v>50</v>
      </c>
      <c r="F29" s="35">
        <v>6</v>
      </c>
      <c r="G29" s="256">
        <f>E29*F29</f>
        <v>300</v>
      </c>
    </row>
    <row r="30" spans="1:7" ht="13.5" thickBot="1">
      <c r="A30" s="171" t="s">
        <v>297</v>
      </c>
      <c r="B30" s="413">
        <v>3</v>
      </c>
      <c r="C30" s="166" t="s">
        <v>44</v>
      </c>
      <c r="D30" s="424">
        <v>5.25</v>
      </c>
      <c r="E30" s="172">
        <f>D30*B30</f>
        <v>15.75</v>
      </c>
      <c r="F30" s="35">
        <v>8</v>
      </c>
      <c r="G30" s="256">
        <f>E30*F30</f>
        <v>126</v>
      </c>
    </row>
    <row r="31" spans="1:7" ht="13.5" thickBot="1">
      <c r="A31" s="145" t="s">
        <v>78</v>
      </c>
      <c r="B31" s="146" t="s">
        <v>2</v>
      </c>
      <c r="C31" s="150" t="s">
        <v>2</v>
      </c>
      <c r="D31" s="148" t="s">
        <v>2</v>
      </c>
      <c r="E31" s="148"/>
      <c r="F31" s="250"/>
      <c r="G31" s="148">
        <f>SUM(G26:G30)</f>
        <v>596.06</v>
      </c>
    </row>
    <row r="32" spans="1:7" ht="13.5" thickBot="1">
      <c r="A32" s="139" t="s">
        <v>79</v>
      </c>
      <c r="B32" s="140" t="s">
        <v>2</v>
      </c>
      <c r="C32" s="141" t="s">
        <v>2</v>
      </c>
      <c r="D32" s="142" t="s">
        <v>2</v>
      </c>
      <c r="E32" s="142" t="s">
        <v>2</v>
      </c>
      <c r="F32" s="251"/>
      <c r="G32" s="258"/>
    </row>
    <row r="33" spans="1:8" ht="12.75">
      <c r="A33" s="173" t="s">
        <v>262</v>
      </c>
      <c r="B33" s="406">
        <v>5.5</v>
      </c>
      <c r="C33" s="154">
        <v>1000</v>
      </c>
      <c r="D33" s="417">
        <v>100</v>
      </c>
      <c r="E33" s="156">
        <f aca="true" t="shared" si="0" ref="E33:E39">D33*B33</f>
        <v>550</v>
      </c>
      <c r="F33" s="252"/>
      <c r="G33" s="259"/>
      <c r="H33" s="17"/>
    </row>
    <row r="34" spans="1:8" ht="12.75">
      <c r="A34" s="173" t="s">
        <v>263</v>
      </c>
      <c r="B34" s="406">
        <v>0.11</v>
      </c>
      <c r="C34" s="154">
        <v>1000</v>
      </c>
      <c r="D34" s="417">
        <v>100</v>
      </c>
      <c r="E34" s="156">
        <f t="shared" si="0"/>
        <v>11</v>
      </c>
      <c r="F34" s="252"/>
      <c r="G34" s="255"/>
      <c r="H34" s="17"/>
    </row>
    <row r="35" spans="1:8" ht="12.75">
      <c r="A35" s="173" t="s">
        <v>105</v>
      </c>
      <c r="B35" s="406">
        <v>3.5</v>
      </c>
      <c r="C35" s="154" t="s">
        <v>80</v>
      </c>
      <c r="D35" s="417">
        <v>105</v>
      </c>
      <c r="E35" s="156">
        <f t="shared" si="0"/>
        <v>367.5</v>
      </c>
      <c r="F35" s="252"/>
      <c r="G35" s="255"/>
      <c r="H35" s="17"/>
    </row>
    <row r="36" spans="1:8" ht="12.75">
      <c r="A36" s="173" t="s">
        <v>106</v>
      </c>
      <c r="B36" s="406">
        <v>1.5</v>
      </c>
      <c r="C36" s="154" t="s">
        <v>81</v>
      </c>
      <c r="D36" s="417">
        <v>135</v>
      </c>
      <c r="E36" s="156">
        <f t="shared" si="0"/>
        <v>202.5</v>
      </c>
      <c r="F36" s="252"/>
      <c r="G36" s="255"/>
      <c r="H36" s="17"/>
    </row>
    <row r="37" spans="1:8" ht="12.75">
      <c r="A37" s="173" t="s">
        <v>286</v>
      </c>
      <c r="B37" s="406">
        <v>3</v>
      </c>
      <c r="C37" s="154" t="s">
        <v>287</v>
      </c>
      <c r="D37" s="417">
        <v>3.3</v>
      </c>
      <c r="E37" s="156">
        <f t="shared" si="0"/>
        <v>9.899999999999999</v>
      </c>
      <c r="F37" s="252"/>
      <c r="G37" s="255"/>
      <c r="H37" s="17"/>
    </row>
    <row r="38" spans="1:8" ht="12.75">
      <c r="A38" s="173" t="s">
        <v>288</v>
      </c>
      <c r="B38" s="406">
        <v>2750</v>
      </c>
      <c r="C38" s="154" t="s">
        <v>201</v>
      </c>
      <c r="D38" s="417">
        <v>0.2</v>
      </c>
      <c r="E38" s="156">
        <f t="shared" si="0"/>
        <v>550</v>
      </c>
      <c r="F38" s="252"/>
      <c r="G38" s="255"/>
      <c r="H38" s="17"/>
    </row>
    <row r="39" spans="1:8" ht="12.75">
      <c r="A39" s="173" t="s">
        <v>318</v>
      </c>
      <c r="B39" s="406">
        <v>1</v>
      </c>
      <c r="C39" s="154" t="s">
        <v>319</v>
      </c>
      <c r="D39" s="417">
        <v>17</v>
      </c>
      <c r="E39" s="156">
        <f t="shared" si="0"/>
        <v>17</v>
      </c>
      <c r="F39" s="252"/>
      <c r="G39" s="255"/>
      <c r="H39" s="17"/>
    </row>
    <row r="40" spans="1:8" ht="12.75">
      <c r="A40" s="173" t="s">
        <v>200</v>
      </c>
      <c r="B40" s="406">
        <v>1</v>
      </c>
      <c r="C40" s="154" t="s">
        <v>201</v>
      </c>
      <c r="D40" s="417">
        <v>250</v>
      </c>
      <c r="E40" s="156">
        <f>D40*B40</f>
        <v>250</v>
      </c>
      <c r="F40" s="252"/>
      <c r="G40" s="255"/>
      <c r="H40" s="17"/>
    </row>
    <row r="41" spans="1:8" ht="13.5" thickBot="1">
      <c r="A41" s="173" t="s">
        <v>320</v>
      </c>
      <c r="B41" s="406">
        <v>1</v>
      </c>
      <c r="C41" s="154" t="s">
        <v>313</v>
      </c>
      <c r="D41" s="417">
        <v>55</v>
      </c>
      <c r="E41" s="156">
        <f>D41*B41</f>
        <v>55</v>
      </c>
      <c r="F41" s="252"/>
      <c r="G41" s="255"/>
      <c r="H41" s="17"/>
    </row>
    <row r="42" spans="1:7" ht="13.5" thickBot="1">
      <c r="A42" s="145" t="s">
        <v>82</v>
      </c>
      <c r="B42" s="146" t="s">
        <v>2</v>
      </c>
      <c r="C42" s="150" t="s">
        <v>2</v>
      </c>
      <c r="D42" s="148" t="s">
        <v>2</v>
      </c>
      <c r="E42" s="148">
        <f>SUM(E33:E41)</f>
        <v>2012.9</v>
      </c>
      <c r="F42" s="250"/>
      <c r="G42" s="257"/>
    </row>
    <row r="43" spans="1:7" ht="13.5" thickBot="1">
      <c r="A43" s="187" t="s">
        <v>129</v>
      </c>
      <c r="B43" s="188"/>
      <c r="C43" s="188"/>
      <c r="D43" s="188"/>
      <c r="E43" s="188"/>
      <c r="F43" s="254"/>
      <c r="G43" s="261"/>
    </row>
    <row r="44" spans="1:7" ht="13.5" thickBot="1">
      <c r="A44" s="184" t="s">
        <v>130</v>
      </c>
      <c r="B44" s="185"/>
      <c r="C44" s="186" t="s">
        <v>343</v>
      </c>
      <c r="D44" s="425">
        <f>Assumptions!G35</f>
        <v>3</v>
      </c>
      <c r="E44" s="61"/>
      <c r="F44" s="253"/>
      <c r="G44" s="260"/>
    </row>
    <row r="45" spans="1:7" ht="13.5" thickBot="1">
      <c r="A45" s="189"/>
      <c r="B45" s="189"/>
      <c r="C45" s="189"/>
      <c r="D45" s="189"/>
      <c r="E45" s="189"/>
      <c r="F45" s="190"/>
      <c r="G45" s="209"/>
    </row>
    <row r="46" spans="1:7" ht="13.5" thickBot="1">
      <c r="A46" s="183" t="s">
        <v>230</v>
      </c>
      <c r="B46" s="192"/>
      <c r="C46" s="192"/>
      <c r="D46" s="192"/>
      <c r="E46" s="192"/>
      <c r="F46" s="193"/>
      <c r="G46" s="210"/>
    </row>
    <row r="47" spans="1:7" ht="12.75">
      <c r="A47" s="194" t="s">
        <v>25</v>
      </c>
      <c r="B47" s="195"/>
      <c r="C47" s="180" t="s">
        <v>358</v>
      </c>
      <c r="D47" s="426">
        <v>16</v>
      </c>
      <c r="F47" s="6"/>
      <c r="G47" s="208"/>
    </row>
    <row r="48" spans="1:7" ht="12.75">
      <c r="A48" s="196" t="s">
        <v>27</v>
      </c>
      <c r="B48" s="126"/>
      <c r="C48" s="181" t="s">
        <v>358</v>
      </c>
      <c r="D48" s="427">
        <v>10</v>
      </c>
      <c r="F48" s="6"/>
      <c r="G48" s="208"/>
    </row>
    <row r="49" spans="1:7" ht="12.75">
      <c r="A49" s="196" t="s">
        <v>29</v>
      </c>
      <c r="B49" s="126"/>
      <c r="C49" s="181" t="s">
        <v>358</v>
      </c>
      <c r="D49" s="427">
        <v>100</v>
      </c>
      <c r="F49" s="6"/>
      <c r="G49" s="208"/>
    </row>
    <row r="50" spans="1:7" ht="12.75">
      <c r="A50" s="196" t="s">
        <v>31</v>
      </c>
      <c r="B50" s="126"/>
      <c r="C50" s="181" t="s">
        <v>358</v>
      </c>
      <c r="D50" s="427">
        <v>35</v>
      </c>
      <c r="F50" s="6"/>
      <c r="G50" s="208"/>
    </row>
    <row r="51" spans="1:7" ht="12.75">
      <c r="A51" s="196" t="s">
        <v>314</v>
      </c>
      <c r="B51" s="126"/>
      <c r="C51" s="181" t="s">
        <v>358</v>
      </c>
      <c r="D51" s="427">
        <v>40</v>
      </c>
      <c r="F51" s="6"/>
      <c r="G51" s="208"/>
    </row>
    <row r="52" spans="1:7" ht="12.75">
      <c r="A52" s="196" t="s">
        <v>33</v>
      </c>
      <c r="B52" s="126"/>
      <c r="C52" s="181" t="s">
        <v>358</v>
      </c>
      <c r="D52" s="427">
        <v>25</v>
      </c>
      <c r="F52" s="6"/>
      <c r="G52" s="208"/>
    </row>
    <row r="53" spans="1:7" ht="13.5" thickBot="1">
      <c r="A53" s="197" t="s">
        <v>39</v>
      </c>
      <c r="B53" s="198"/>
      <c r="C53" s="182" t="s">
        <v>358</v>
      </c>
      <c r="D53" s="428">
        <v>70</v>
      </c>
      <c r="F53" s="6"/>
      <c r="G53" s="208"/>
    </row>
    <row r="54" spans="1:7" ht="13.5" thickBot="1">
      <c r="A54" s="191"/>
      <c r="B54" s="191"/>
      <c r="C54" s="191"/>
      <c r="D54" s="191"/>
      <c r="E54" s="191"/>
      <c r="F54" s="191"/>
      <c r="G54" s="211"/>
    </row>
    <row r="55" spans="1:7" ht="13.5" thickBot="1">
      <c r="A55" s="192"/>
      <c r="B55" s="192"/>
      <c r="C55" s="192"/>
      <c r="D55" s="192"/>
      <c r="E55" s="192"/>
      <c r="F55" s="192"/>
      <c r="G55" s="210"/>
    </row>
  </sheetData>
  <sheetProtection password="EB79" sheet="1" objects="1" scenarios="1" selectLockedCells="1"/>
  <printOptions/>
  <pageMargins left="1.24" right="0.48" top="0.11" bottom="0.46" header="0.22" footer="0.5"/>
  <pageSetup horizontalDpi="600" verticalDpi="600" orientation="portrait" scale="80" r:id="rId1"/>
</worksheet>
</file>

<file path=xl/worksheets/sheet8.xml><?xml version="1.0" encoding="utf-8"?>
<worksheet xmlns="http://schemas.openxmlformats.org/spreadsheetml/2006/main" xmlns:r="http://schemas.openxmlformats.org/officeDocument/2006/relationships">
  <sheetPr>
    <tabColor rgb="FFFF0000"/>
  </sheetPr>
  <dimension ref="A1:P107"/>
  <sheetViews>
    <sheetView tabSelected="1" zoomScalePageLayoutView="0" workbookViewId="0" topLeftCell="A1">
      <selection activeCell="F8" sqref="F8"/>
    </sheetView>
  </sheetViews>
  <sheetFormatPr defaultColWidth="9.140625" defaultRowHeight="12.75"/>
  <cols>
    <col min="1" max="1" width="4.8515625" style="0" customWidth="1"/>
  </cols>
  <sheetData>
    <row r="1" spans="1:10" ht="12.75">
      <c r="A1" s="446"/>
      <c r="B1" s="480" t="s">
        <v>133</v>
      </c>
      <c r="C1" s="480"/>
      <c r="D1" s="480"/>
      <c r="E1" s="480"/>
      <c r="F1" s="480"/>
      <c r="G1" s="480"/>
      <c r="H1" s="480"/>
      <c r="I1" s="480"/>
      <c r="J1" s="480"/>
    </row>
    <row r="2" spans="1:10" ht="12.75">
      <c r="A2" s="446"/>
      <c r="B2" s="480" t="s">
        <v>134</v>
      </c>
      <c r="C2" s="480"/>
      <c r="D2" s="480"/>
      <c r="E2" s="480"/>
      <c r="F2" s="480"/>
      <c r="G2" s="480"/>
      <c r="H2" s="480"/>
      <c r="I2" s="480"/>
      <c r="J2" s="480"/>
    </row>
    <row r="3" spans="1:10" ht="12.75">
      <c r="A3" s="446"/>
      <c r="B3" s="447"/>
      <c r="C3" s="447"/>
      <c r="D3" s="447"/>
      <c r="E3" s="447"/>
      <c r="F3" s="447"/>
      <c r="G3" s="447"/>
      <c r="H3" s="447"/>
      <c r="I3" s="447"/>
      <c r="J3" s="447"/>
    </row>
    <row r="4" spans="1:10" ht="12.75">
      <c r="A4" s="446"/>
      <c r="B4" s="448" t="s">
        <v>138</v>
      </c>
      <c r="C4" s="446"/>
      <c r="D4" s="481" t="s">
        <v>346</v>
      </c>
      <c r="E4" s="481"/>
      <c r="F4" s="481"/>
      <c r="G4" s="449" t="s">
        <v>136</v>
      </c>
      <c r="H4" s="481" t="s">
        <v>139</v>
      </c>
      <c r="I4" s="481"/>
      <c r="J4" s="481"/>
    </row>
    <row r="5" spans="1:10" ht="12.75">
      <c r="A5" s="446"/>
      <c r="B5" s="446"/>
      <c r="C5" s="446"/>
      <c r="D5" s="446"/>
      <c r="E5" s="446"/>
      <c r="F5" s="446"/>
      <c r="G5" s="446"/>
      <c r="H5" s="446"/>
      <c r="I5" s="446"/>
      <c r="J5" s="446"/>
    </row>
    <row r="6" spans="1:10" ht="12.75">
      <c r="A6" s="446"/>
      <c r="B6" s="487" t="s">
        <v>140</v>
      </c>
      <c r="C6" s="482"/>
      <c r="D6" s="482"/>
      <c r="E6" s="482"/>
      <c r="F6" s="446"/>
      <c r="G6" s="446"/>
      <c r="H6" s="446"/>
      <c r="I6" s="478" t="s">
        <v>141</v>
      </c>
      <c r="J6" s="478"/>
    </row>
    <row r="7" spans="1:10" ht="12.75">
      <c r="A7" s="446"/>
      <c r="B7" s="446" t="s">
        <v>142</v>
      </c>
      <c r="C7" s="446"/>
      <c r="D7" s="446"/>
      <c r="E7" s="446"/>
      <c r="F7" s="446"/>
      <c r="G7" s="446"/>
      <c r="H7" s="446"/>
      <c r="I7" s="446"/>
      <c r="J7" s="446"/>
    </row>
    <row r="8" spans="1:10" ht="12.75">
      <c r="A8" s="446"/>
      <c r="B8" s="449" t="s">
        <v>143</v>
      </c>
      <c r="C8" s="446" t="s">
        <v>144</v>
      </c>
      <c r="D8" s="48">
        <v>40</v>
      </c>
      <c r="E8" s="451" t="s">
        <v>145</v>
      </c>
      <c r="F8" s="48">
        <v>52</v>
      </c>
      <c r="G8" s="49"/>
      <c r="H8" s="446"/>
      <c r="I8" s="446"/>
      <c r="J8" s="446"/>
    </row>
    <row r="9" spans="1:10" ht="12.75">
      <c r="A9" s="446"/>
      <c r="B9" s="449" t="s">
        <v>146</v>
      </c>
      <c r="C9" s="446" t="s">
        <v>147</v>
      </c>
      <c r="D9" s="49">
        <f>(D8*F8)</f>
        <v>2080</v>
      </c>
      <c r="E9" s="446" t="s">
        <v>148</v>
      </c>
      <c r="F9" s="452">
        <f>Assumptions!G29</f>
        <v>14</v>
      </c>
      <c r="G9" s="446"/>
      <c r="H9" s="446"/>
      <c r="I9" s="479">
        <f>(D9*F9)</f>
        <v>29120</v>
      </c>
      <c r="J9" s="479"/>
    </row>
    <row r="10" spans="1:10" ht="12.75">
      <c r="A10" s="446"/>
      <c r="B10" s="446"/>
      <c r="C10" s="446"/>
      <c r="D10" s="446"/>
      <c r="E10" s="446"/>
      <c r="F10" s="446"/>
      <c r="G10" s="446"/>
      <c r="H10" s="446"/>
      <c r="I10" s="446"/>
      <c r="J10" s="446"/>
    </row>
    <row r="11" spans="1:10" ht="12.75">
      <c r="A11" s="446"/>
      <c r="B11" s="482" t="s">
        <v>149</v>
      </c>
      <c r="C11" s="482"/>
      <c r="D11" s="482"/>
      <c r="E11" s="51">
        <v>0.062</v>
      </c>
      <c r="F11" s="49" t="s">
        <v>150</v>
      </c>
      <c r="G11" s="52">
        <v>90000</v>
      </c>
      <c r="H11" s="446"/>
      <c r="I11" s="486">
        <f>IF(I9&lt;87900,E11*I9,E11*87900)</f>
        <v>1805.44</v>
      </c>
      <c r="J11" s="486"/>
    </row>
    <row r="12" spans="1:10" ht="12.75">
      <c r="A12" s="446"/>
      <c r="B12" s="482" t="s">
        <v>151</v>
      </c>
      <c r="C12" s="482"/>
      <c r="D12" s="482"/>
      <c r="E12" s="51">
        <v>0.0145</v>
      </c>
      <c r="F12" s="49"/>
      <c r="G12" s="52"/>
      <c r="H12" s="446"/>
      <c r="I12" s="482">
        <f>(E12*I9)</f>
        <v>422.24</v>
      </c>
      <c r="J12" s="482"/>
    </row>
    <row r="13" spans="1:10" ht="12.75">
      <c r="A13" s="446"/>
      <c r="B13" s="446"/>
      <c r="C13" s="446"/>
      <c r="D13" s="446"/>
      <c r="E13" s="446"/>
      <c r="F13" s="446"/>
      <c r="G13" s="446"/>
      <c r="H13" s="446"/>
      <c r="I13" s="446"/>
      <c r="J13" s="446"/>
    </row>
    <row r="14" spans="1:10" ht="12.75">
      <c r="A14" s="446"/>
      <c r="B14" s="482" t="s">
        <v>152</v>
      </c>
      <c r="C14" s="482"/>
      <c r="D14" s="482"/>
      <c r="E14" s="446"/>
      <c r="F14" s="446"/>
      <c r="G14" s="446"/>
      <c r="H14" s="446"/>
      <c r="I14" s="446"/>
      <c r="J14" s="446"/>
    </row>
    <row r="15" spans="1:10" ht="12.75">
      <c r="A15" s="446"/>
      <c r="B15" s="446"/>
      <c r="C15" s="453" t="s">
        <v>153</v>
      </c>
      <c r="D15" s="483">
        <v>0.012</v>
      </c>
      <c r="E15" s="483"/>
      <c r="F15" s="49" t="s">
        <v>154</v>
      </c>
      <c r="G15" s="53">
        <v>16200</v>
      </c>
      <c r="H15" s="446"/>
      <c r="I15" s="485">
        <f>IF(I9&gt;16200,D15*16200,D15*I9)</f>
        <v>194.4</v>
      </c>
      <c r="J15" s="485"/>
    </row>
    <row r="16" spans="1:10" ht="12.75">
      <c r="A16" s="446"/>
      <c r="B16" s="446"/>
      <c r="C16" s="454" t="s">
        <v>155</v>
      </c>
      <c r="D16" s="483">
        <v>0.008</v>
      </c>
      <c r="E16" s="484"/>
      <c r="F16" s="49" t="s">
        <v>154</v>
      </c>
      <c r="G16" s="53">
        <v>7000</v>
      </c>
      <c r="H16" s="446"/>
      <c r="I16" s="485">
        <f>IF(I9&gt;7000,D16*7000,D16*I9)</f>
        <v>56</v>
      </c>
      <c r="J16" s="485"/>
    </row>
    <row r="17" spans="1:10" ht="12.75">
      <c r="A17" s="446"/>
      <c r="B17" s="446"/>
      <c r="C17" s="446"/>
      <c r="D17" s="446"/>
      <c r="E17" s="446"/>
      <c r="F17" s="446"/>
      <c r="G17" s="446"/>
      <c r="H17" s="446"/>
      <c r="I17" s="446"/>
      <c r="J17" s="446"/>
    </row>
    <row r="18" spans="1:10" ht="12.75">
      <c r="A18" s="446"/>
      <c r="B18" s="482" t="s">
        <v>156</v>
      </c>
      <c r="C18" s="482"/>
      <c r="D18" s="482"/>
      <c r="E18" s="482"/>
      <c r="F18" s="446"/>
      <c r="G18" s="446"/>
      <c r="H18" s="446"/>
      <c r="I18" s="446"/>
      <c r="J18" s="446"/>
    </row>
    <row r="19" spans="1:10" ht="12.75">
      <c r="A19" s="446"/>
      <c r="B19" s="446"/>
      <c r="C19" s="50">
        <v>3.79</v>
      </c>
      <c r="D19" s="478" t="s">
        <v>157</v>
      </c>
      <c r="E19" s="478"/>
      <c r="F19" s="446"/>
      <c r="G19" s="446"/>
      <c r="H19" s="446"/>
      <c r="I19" s="488">
        <f>((I9/100)*C19)</f>
        <v>1103.648</v>
      </c>
      <c r="J19" s="488"/>
    </row>
    <row r="20" spans="1:10" ht="12.75">
      <c r="A20" s="446"/>
      <c r="B20" s="446"/>
      <c r="C20" s="446"/>
      <c r="D20" s="446"/>
      <c r="E20" s="446"/>
      <c r="F20" s="446"/>
      <c r="G20" s="446"/>
      <c r="H20" s="446"/>
      <c r="I20" s="446"/>
      <c r="J20" s="446"/>
    </row>
    <row r="21" spans="1:10" ht="12.75">
      <c r="A21" s="446"/>
      <c r="B21" s="489" t="s">
        <v>158</v>
      </c>
      <c r="C21" s="489"/>
      <c r="D21" s="489"/>
      <c r="E21" s="489"/>
      <c r="F21" s="489"/>
      <c r="G21" s="489"/>
      <c r="H21" s="455"/>
      <c r="I21" s="490">
        <f>(I9+I11+I12+I15+I16+I19)</f>
        <v>32701.728000000003</v>
      </c>
      <c r="J21" s="490"/>
    </row>
    <row r="22" spans="1:10" ht="12.75">
      <c r="A22" s="446"/>
      <c r="B22" s="446"/>
      <c r="C22" s="446"/>
      <c r="D22" s="446"/>
      <c r="E22" s="446"/>
      <c r="F22" s="446"/>
      <c r="G22" s="446"/>
      <c r="H22" s="446"/>
      <c r="I22" s="446"/>
      <c r="J22" s="446"/>
    </row>
    <row r="23" spans="1:10" ht="12.75">
      <c r="A23" s="446"/>
      <c r="B23" s="487" t="s">
        <v>159</v>
      </c>
      <c r="C23" s="487"/>
      <c r="D23" s="446"/>
      <c r="E23" s="446"/>
      <c r="F23" s="446"/>
      <c r="G23" s="446"/>
      <c r="H23" s="446"/>
      <c r="I23" s="446"/>
      <c r="J23" s="446"/>
    </row>
    <row r="24" spans="1:10" ht="12.75">
      <c r="A24" s="446"/>
      <c r="B24" s="482" t="s">
        <v>160</v>
      </c>
      <c r="C24" s="482"/>
      <c r="D24" s="450"/>
      <c r="E24" s="446"/>
      <c r="F24" s="446"/>
      <c r="G24" s="446"/>
      <c r="H24" s="446"/>
      <c r="I24" s="491">
        <v>0</v>
      </c>
      <c r="J24" s="491"/>
    </row>
    <row r="25" spans="1:16" ht="12.75">
      <c r="A25" s="446"/>
      <c r="B25" s="482" t="s">
        <v>161</v>
      </c>
      <c r="C25" s="482"/>
      <c r="D25" s="446"/>
      <c r="E25" s="446"/>
      <c r="F25" s="446"/>
      <c r="G25" s="446"/>
      <c r="H25" s="446"/>
      <c r="I25" s="446"/>
      <c r="J25" s="446"/>
      <c r="P25" s="403"/>
    </row>
    <row r="26" spans="1:10" ht="12.75">
      <c r="A26" s="446"/>
      <c r="B26" s="446"/>
      <c r="C26" s="450" t="s">
        <v>162</v>
      </c>
      <c r="D26" s="450"/>
      <c r="E26" s="446"/>
      <c r="F26" s="446"/>
      <c r="G26" s="446"/>
      <c r="H26" s="446"/>
      <c r="I26" s="491">
        <v>0</v>
      </c>
      <c r="J26" s="491"/>
    </row>
    <row r="27" spans="1:10" ht="12.75">
      <c r="A27" s="446"/>
      <c r="B27" s="446"/>
      <c r="C27" s="450" t="s">
        <v>163</v>
      </c>
      <c r="D27" s="446"/>
      <c r="E27" s="446"/>
      <c r="F27" s="446"/>
      <c r="G27" s="446"/>
      <c r="H27" s="446"/>
      <c r="I27" s="491">
        <v>0</v>
      </c>
      <c r="J27" s="491"/>
    </row>
    <row r="28" spans="1:10" ht="12.75">
      <c r="A28" s="446"/>
      <c r="B28" s="446"/>
      <c r="C28" s="446" t="s">
        <v>164</v>
      </c>
      <c r="D28" s="446"/>
      <c r="E28" s="446"/>
      <c r="F28" s="446"/>
      <c r="G28" s="446"/>
      <c r="H28" s="446"/>
      <c r="I28" s="491">
        <v>0</v>
      </c>
      <c r="J28" s="491"/>
    </row>
    <row r="29" spans="1:10" ht="12.75">
      <c r="A29" s="446"/>
      <c r="B29" s="446"/>
      <c r="C29" s="446" t="s">
        <v>165</v>
      </c>
      <c r="D29" s="446"/>
      <c r="E29" s="446"/>
      <c r="F29" s="446"/>
      <c r="G29" s="446"/>
      <c r="H29" s="446"/>
      <c r="I29" s="491">
        <v>0</v>
      </c>
      <c r="J29" s="491"/>
    </row>
    <row r="30" spans="1:10" ht="12.75">
      <c r="A30" s="446"/>
      <c r="B30" s="446"/>
      <c r="C30" s="482" t="s">
        <v>166</v>
      </c>
      <c r="D30" s="482"/>
      <c r="E30" s="446"/>
      <c r="F30" s="446"/>
      <c r="G30" s="446"/>
      <c r="H30" s="446"/>
      <c r="I30" s="491">
        <v>0</v>
      </c>
      <c r="J30" s="491"/>
    </row>
    <row r="31" spans="1:10" ht="12.75">
      <c r="A31" s="446"/>
      <c r="B31" s="446"/>
      <c r="C31" s="446" t="s">
        <v>167</v>
      </c>
      <c r="D31" s="478"/>
      <c r="E31" s="478"/>
      <c r="F31" s="478"/>
      <c r="G31" s="446"/>
      <c r="H31" s="446"/>
      <c r="I31" s="494">
        <v>0</v>
      </c>
      <c r="J31" s="494"/>
    </row>
    <row r="32" spans="1:10" ht="12.75">
      <c r="A32" s="446"/>
      <c r="B32" s="446"/>
      <c r="C32" s="446" t="s">
        <v>168</v>
      </c>
      <c r="D32" s="478"/>
      <c r="E32" s="478"/>
      <c r="F32" s="478"/>
      <c r="G32" s="446"/>
      <c r="H32" s="446"/>
      <c r="I32" s="491">
        <v>0</v>
      </c>
      <c r="J32" s="491"/>
    </row>
    <row r="33" spans="1:10" ht="12.75">
      <c r="A33" s="446"/>
      <c r="B33" s="446"/>
      <c r="C33" s="446" t="s">
        <v>169</v>
      </c>
      <c r="D33" s="446"/>
      <c r="E33" s="446"/>
      <c r="F33" s="446"/>
      <c r="G33" s="446"/>
      <c r="H33" s="446"/>
      <c r="I33" s="491">
        <f>SUM(I26:I32)</f>
        <v>0</v>
      </c>
      <c r="J33" s="491"/>
    </row>
    <row r="34" spans="1:10" ht="12.75">
      <c r="A34" s="446"/>
      <c r="B34" s="482" t="s">
        <v>170</v>
      </c>
      <c r="C34" s="482"/>
      <c r="D34" s="478"/>
      <c r="E34" s="478"/>
      <c r="F34" s="478"/>
      <c r="G34" s="446"/>
      <c r="H34" s="446"/>
      <c r="I34" s="491">
        <v>0</v>
      </c>
      <c r="J34" s="491"/>
    </row>
    <row r="35" spans="1:10" ht="12.75">
      <c r="A35" s="446"/>
      <c r="B35" s="482" t="s">
        <v>171</v>
      </c>
      <c r="C35" s="482"/>
      <c r="D35" s="446"/>
      <c r="E35" s="446"/>
      <c r="F35" s="446"/>
      <c r="G35" s="446"/>
      <c r="H35" s="446"/>
      <c r="I35" s="493">
        <v>0</v>
      </c>
      <c r="J35" s="493"/>
    </row>
    <row r="36" spans="1:10" ht="12.75">
      <c r="A36" s="446"/>
      <c r="B36" s="482" t="s">
        <v>172</v>
      </c>
      <c r="C36" s="482"/>
      <c r="D36" s="446"/>
      <c r="E36" s="446"/>
      <c r="F36" s="446"/>
      <c r="G36" s="446"/>
      <c r="H36" s="446"/>
      <c r="I36" s="493">
        <v>0</v>
      </c>
      <c r="J36" s="493"/>
    </row>
    <row r="37" spans="1:10" ht="12.75">
      <c r="A37" s="446"/>
      <c r="B37" s="482" t="s">
        <v>173</v>
      </c>
      <c r="C37" s="482"/>
      <c r="D37" s="446"/>
      <c r="E37" s="446"/>
      <c r="F37" s="446"/>
      <c r="G37" s="446"/>
      <c r="H37" s="446"/>
      <c r="I37" s="493">
        <v>0</v>
      </c>
      <c r="J37" s="493"/>
    </row>
    <row r="38" spans="1:10" ht="12.75">
      <c r="A38" s="446"/>
      <c r="B38" s="482" t="s">
        <v>174</v>
      </c>
      <c r="C38" s="482"/>
      <c r="D38" s="482"/>
      <c r="E38" s="482"/>
      <c r="F38" s="482"/>
      <c r="G38" s="446"/>
      <c r="H38" s="446"/>
      <c r="I38" s="493">
        <v>0</v>
      </c>
      <c r="J38" s="493"/>
    </row>
    <row r="39" spans="1:10" ht="12.75">
      <c r="A39" s="446"/>
      <c r="B39" s="482" t="s">
        <v>175</v>
      </c>
      <c r="C39" s="482"/>
      <c r="D39" s="446"/>
      <c r="E39" s="446"/>
      <c r="F39" s="446"/>
      <c r="G39" s="446"/>
      <c r="H39" s="446"/>
      <c r="I39" s="493">
        <v>0</v>
      </c>
      <c r="J39" s="493"/>
    </row>
    <row r="40" spans="1:10" ht="12.75">
      <c r="A40" s="446"/>
      <c r="B40" s="446" t="s">
        <v>176</v>
      </c>
      <c r="C40" s="492"/>
      <c r="D40" s="492"/>
      <c r="E40" s="492"/>
      <c r="F40" s="492"/>
      <c r="G40" s="446"/>
      <c r="H40" s="446"/>
      <c r="I40" s="493">
        <v>0</v>
      </c>
      <c r="J40" s="493"/>
    </row>
    <row r="41" spans="1:10" ht="12.75">
      <c r="A41" s="446"/>
      <c r="B41" s="446" t="s">
        <v>177</v>
      </c>
      <c r="C41" s="492"/>
      <c r="D41" s="492"/>
      <c r="E41" s="492"/>
      <c r="F41" s="492"/>
      <c r="G41" s="446"/>
      <c r="H41" s="446"/>
      <c r="I41" s="493">
        <v>0</v>
      </c>
      <c r="J41" s="493"/>
    </row>
    <row r="42" spans="1:10" ht="12.75">
      <c r="A42" s="446"/>
      <c r="B42" s="446" t="s">
        <v>178</v>
      </c>
      <c r="C42" s="492"/>
      <c r="D42" s="492"/>
      <c r="E42" s="492"/>
      <c r="F42" s="492"/>
      <c r="G42" s="446"/>
      <c r="H42" s="446"/>
      <c r="I42" s="493">
        <v>0</v>
      </c>
      <c r="J42" s="493"/>
    </row>
    <row r="43" spans="1:10" ht="13.5" thickBot="1">
      <c r="A43" s="446"/>
      <c r="B43" s="446" t="s">
        <v>179</v>
      </c>
      <c r="C43" s="492"/>
      <c r="D43" s="492"/>
      <c r="E43" s="492"/>
      <c r="F43" s="492"/>
      <c r="G43" s="446"/>
      <c r="H43" s="446"/>
      <c r="I43" s="493">
        <v>0</v>
      </c>
      <c r="J43" s="493"/>
    </row>
    <row r="44" spans="1:10" ht="13.5" thickTop="1">
      <c r="A44" s="446"/>
      <c r="B44" s="497" t="s">
        <v>180</v>
      </c>
      <c r="C44" s="497"/>
      <c r="D44" s="497"/>
      <c r="E44" s="497"/>
      <c r="F44" s="497"/>
      <c r="G44" s="456"/>
      <c r="H44" s="455"/>
      <c r="I44" s="498">
        <f>(I24+I33+I34+I35+I36+I37+I38+I39+I40+I41+I42+I43)</f>
        <v>0</v>
      </c>
      <c r="J44" s="499"/>
    </row>
    <row r="45" spans="1:10" ht="13.5" thickBot="1">
      <c r="A45" s="446"/>
      <c r="B45" s="500" t="s">
        <v>181</v>
      </c>
      <c r="C45" s="500"/>
      <c r="D45" s="500"/>
      <c r="E45" s="500"/>
      <c r="F45" s="500"/>
      <c r="G45" s="455"/>
      <c r="H45" s="455"/>
      <c r="I45" s="501">
        <f>(I21+I44)</f>
        <v>32701.728000000003</v>
      </c>
      <c r="J45" s="502"/>
    </row>
    <row r="46" spans="1:10" ht="13.5" thickTop="1">
      <c r="A46" s="446"/>
      <c r="B46" s="487" t="s">
        <v>182</v>
      </c>
      <c r="C46" s="487"/>
      <c r="D46" s="487"/>
      <c r="E46" s="450"/>
      <c r="F46" s="446"/>
      <c r="G46" s="446"/>
      <c r="H46" s="446"/>
      <c r="I46" s="446"/>
      <c r="J46" s="446"/>
    </row>
    <row r="47" spans="1:10" ht="12.75">
      <c r="A47" s="446"/>
      <c r="B47" s="482" t="s">
        <v>183</v>
      </c>
      <c r="C47" s="482"/>
      <c r="D47" s="54">
        <v>0</v>
      </c>
      <c r="E47" s="478" t="s">
        <v>184</v>
      </c>
      <c r="F47" s="478"/>
      <c r="G47" s="457">
        <f>(D47*8)</f>
        <v>0</v>
      </c>
      <c r="H47" s="451" t="s">
        <v>185</v>
      </c>
      <c r="I47" s="451"/>
      <c r="J47" s="446"/>
    </row>
    <row r="48" spans="1:10" ht="12.75">
      <c r="A48" s="446"/>
      <c r="B48" s="482" t="s">
        <v>186</v>
      </c>
      <c r="C48" s="482"/>
      <c r="D48" s="54">
        <v>0</v>
      </c>
      <c r="E48" s="478" t="s">
        <v>184</v>
      </c>
      <c r="F48" s="478"/>
      <c r="G48" s="457">
        <f>(D48*8)</f>
        <v>0</v>
      </c>
      <c r="H48" s="458" t="s">
        <v>185</v>
      </c>
      <c r="I48" s="446"/>
      <c r="J48" s="446"/>
    </row>
    <row r="49" spans="1:10" ht="12.75">
      <c r="A49" s="446"/>
      <c r="B49" s="482" t="s">
        <v>187</v>
      </c>
      <c r="C49" s="482"/>
      <c r="D49" s="54">
        <v>0</v>
      </c>
      <c r="E49" s="478" t="s">
        <v>184</v>
      </c>
      <c r="F49" s="478"/>
      <c r="G49" s="457">
        <f>(D49*8)</f>
        <v>0</v>
      </c>
      <c r="H49" s="458" t="s">
        <v>185</v>
      </c>
      <c r="I49" s="446"/>
      <c r="J49" s="446"/>
    </row>
    <row r="50" spans="1:10" ht="12.75">
      <c r="A50" s="446"/>
      <c r="B50" s="482" t="s">
        <v>188</v>
      </c>
      <c r="C50" s="482"/>
      <c r="D50" s="482"/>
      <c r="E50" s="482"/>
      <c r="F50" s="446"/>
      <c r="G50" s="457">
        <f>(G47+G48+G49)</f>
        <v>0</v>
      </c>
      <c r="H50" s="451" t="s">
        <v>189</v>
      </c>
      <c r="I50" s="446"/>
      <c r="J50" s="446"/>
    </row>
    <row r="51" spans="1:10" ht="12.75">
      <c r="A51" s="446"/>
      <c r="B51" s="482" t="s">
        <v>190</v>
      </c>
      <c r="C51" s="482"/>
      <c r="D51" s="482"/>
      <c r="E51" s="446"/>
      <c r="F51" s="446"/>
      <c r="G51" s="457">
        <f>(D9-G50)</f>
        <v>2080</v>
      </c>
      <c r="H51" s="446"/>
      <c r="I51" s="446"/>
      <c r="J51" s="446"/>
    </row>
    <row r="52" spans="1:10" ht="13.5" thickBot="1">
      <c r="A52" s="446"/>
      <c r="B52" s="450"/>
      <c r="C52" s="450"/>
      <c r="D52" s="450"/>
      <c r="E52" s="446"/>
      <c r="F52" s="446"/>
      <c r="G52" s="457"/>
      <c r="H52" s="446"/>
      <c r="I52" s="446"/>
      <c r="J52" s="446"/>
    </row>
    <row r="53" spans="1:10" ht="14.25" thickBot="1" thickTop="1">
      <c r="A53" s="446"/>
      <c r="B53" s="500" t="s">
        <v>191</v>
      </c>
      <c r="C53" s="500"/>
      <c r="D53" s="500"/>
      <c r="E53" s="500"/>
      <c r="F53" s="500"/>
      <c r="G53" s="500"/>
      <c r="H53" s="455"/>
      <c r="I53" s="503">
        <f>(I45/G51)</f>
        <v>15.721984615384617</v>
      </c>
      <c r="J53" s="504"/>
    </row>
    <row r="54" spans="1:10" ht="13.5" thickTop="1">
      <c r="A54" s="446"/>
      <c r="B54" s="446"/>
      <c r="C54" s="446"/>
      <c r="D54" s="446"/>
      <c r="E54" s="446"/>
      <c r="F54" s="446"/>
      <c r="G54" s="446"/>
      <c r="H54" s="446"/>
      <c r="I54" s="446"/>
      <c r="J54" s="446"/>
    </row>
    <row r="55" spans="1:10" ht="12.75">
      <c r="A55" s="446"/>
      <c r="B55" s="480" t="s">
        <v>133</v>
      </c>
      <c r="C55" s="480"/>
      <c r="D55" s="480"/>
      <c r="E55" s="480"/>
      <c r="F55" s="480"/>
      <c r="G55" s="480"/>
      <c r="H55" s="480"/>
      <c r="I55" s="480"/>
      <c r="J55" s="480"/>
    </row>
    <row r="56" spans="1:10" ht="12.75">
      <c r="A56" s="446"/>
      <c r="B56" s="480" t="s">
        <v>134</v>
      </c>
      <c r="C56" s="480"/>
      <c r="D56" s="480"/>
      <c r="E56" s="480"/>
      <c r="F56" s="480"/>
      <c r="G56" s="480"/>
      <c r="H56" s="480"/>
      <c r="I56" s="480"/>
      <c r="J56" s="480"/>
    </row>
    <row r="57" spans="1:10" ht="12.75">
      <c r="A57" s="446"/>
      <c r="B57" s="447"/>
      <c r="C57" s="447"/>
      <c r="D57" s="447"/>
      <c r="E57" s="447"/>
      <c r="F57" s="447"/>
      <c r="G57" s="447"/>
      <c r="H57" s="447"/>
      <c r="I57" s="447"/>
      <c r="J57" s="447"/>
    </row>
    <row r="58" spans="1:10" ht="12.75">
      <c r="A58" s="446"/>
      <c r="B58" s="446" t="s">
        <v>135</v>
      </c>
      <c r="C58" s="446"/>
      <c r="D58" s="481" t="s">
        <v>345</v>
      </c>
      <c r="E58" s="481"/>
      <c r="F58" s="481"/>
      <c r="G58" s="449" t="s">
        <v>136</v>
      </c>
      <c r="H58" s="481" t="s">
        <v>137</v>
      </c>
      <c r="I58" s="481"/>
      <c r="J58" s="481"/>
    </row>
    <row r="59" spans="1:10" ht="12.75">
      <c r="A59" s="446"/>
      <c r="B59" s="446"/>
      <c r="C59" s="446"/>
      <c r="D59" s="446"/>
      <c r="E59" s="446"/>
      <c r="F59" s="446"/>
      <c r="G59" s="446"/>
      <c r="H59" s="446"/>
      <c r="I59" s="446"/>
      <c r="J59" s="446"/>
    </row>
    <row r="60" spans="1:10" ht="12.75">
      <c r="A60" s="446"/>
      <c r="B60" s="487" t="s">
        <v>140</v>
      </c>
      <c r="C60" s="482"/>
      <c r="D60" s="482"/>
      <c r="E60" s="482"/>
      <c r="F60" s="446"/>
      <c r="G60" s="446"/>
      <c r="H60" s="446"/>
      <c r="I60" s="478" t="s">
        <v>141</v>
      </c>
      <c r="J60" s="478"/>
    </row>
    <row r="61" spans="1:10" ht="12.75">
      <c r="A61" s="446"/>
      <c r="B61" s="446" t="s">
        <v>142</v>
      </c>
      <c r="C61" s="446"/>
      <c r="D61" s="446"/>
      <c r="E61" s="446"/>
      <c r="F61" s="446"/>
      <c r="G61" s="446"/>
      <c r="H61" s="446"/>
      <c r="I61" s="446"/>
      <c r="J61" s="446"/>
    </row>
    <row r="62" spans="1:10" ht="12.75">
      <c r="A62" s="446"/>
      <c r="B62" s="449" t="s">
        <v>143</v>
      </c>
      <c r="C62" s="446" t="s">
        <v>144</v>
      </c>
      <c r="D62" s="48">
        <v>40</v>
      </c>
      <c r="E62" s="451" t="s">
        <v>145</v>
      </c>
      <c r="F62" s="48">
        <v>52</v>
      </c>
      <c r="G62" s="49"/>
      <c r="H62" s="446"/>
      <c r="I62" s="446"/>
      <c r="J62" s="446"/>
    </row>
    <row r="63" spans="1:10" ht="12.75">
      <c r="A63" s="446"/>
      <c r="B63" s="449" t="s">
        <v>146</v>
      </c>
      <c r="C63" s="446" t="s">
        <v>147</v>
      </c>
      <c r="D63" s="49">
        <f>(D62*F62)</f>
        <v>2080</v>
      </c>
      <c r="E63" s="446" t="s">
        <v>148</v>
      </c>
      <c r="F63" s="452">
        <f>Assumptions!G32</f>
        <v>7.5</v>
      </c>
      <c r="G63" s="446"/>
      <c r="H63" s="446"/>
      <c r="I63" s="479">
        <f>(D63*F63)</f>
        <v>15600</v>
      </c>
      <c r="J63" s="479"/>
    </row>
    <row r="64" spans="1:10" ht="12.75">
      <c r="A64" s="446"/>
      <c r="B64" s="446"/>
      <c r="C64" s="446"/>
      <c r="D64" s="446"/>
      <c r="E64" s="446"/>
      <c r="F64" s="446"/>
      <c r="G64" s="446"/>
      <c r="H64" s="446"/>
      <c r="I64" s="446"/>
      <c r="J64" s="446"/>
    </row>
    <row r="65" spans="1:10" ht="12.75">
      <c r="A65" s="446"/>
      <c r="B65" s="482" t="s">
        <v>149</v>
      </c>
      <c r="C65" s="482"/>
      <c r="D65" s="482"/>
      <c r="E65" s="51">
        <v>0.062</v>
      </c>
      <c r="F65" s="49" t="s">
        <v>150</v>
      </c>
      <c r="G65" s="52">
        <v>90000</v>
      </c>
      <c r="H65" s="446"/>
      <c r="I65" s="486">
        <f>IF(I63&lt;87900,E65*I63,E65*87900)</f>
        <v>967.2</v>
      </c>
      <c r="J65" s="486"/>
    </row>
    <row r="66" spans="1:10" ht="12.75">
      <c r="A66" s="446"/>
      <c r="B66" s="482" t="s">
        <v>151</v>
      </c>
      <c r="C66" s="482"/>
      <c r="D66" s="482"/>
      <c r="E66" s="51">
        <v>0.0145</v>
      </c>
      <c r="F66" s="49"/>
      <c r="G66" s="52"/>
      <c r="H66" s="446"/>
      <c r="I66" s="482">
        <f>(E66*I63)</f>
        <v>226.20000000000002</v>
      </c>
      <c r="J66" s="482"/>
    </row>
    <row r="67" spans="1:10" ht="12.75">
      <c r="A67" s="446"/>
      <c r="B67" s="446"/>
      <c r="C67" s="446"/>
      <c r="D67" s="446"/>
      <c r="E67" s="446"/>
      <c r="F67" s="446"/>
      <c r="G67" s="446"/>
      <c r="H67" s="446"/>
      <c r="I67" s="446"/>
      <c r="J67" s="446"/>
    </row>
    <row r="68" spans="1:10" ht="12.75">
      <c r="A68" s="446"/>
      <c r="B68" s="482" t="s">
        <v>152</v>
      </c>
      <c r="C68" s="482"/>
      <c r="D68" s="482"/>
      <c r="E68" s="446"/>
      <c r="F68" s="446"/>
      <c r="G68" s="446"/>
      <c r="H68" s="446"/>
      <c r="I68" s="446"/>
      <c r="J68" s="446"/>
    </row>
    <row r="69" spans="1:10" ht="12.75">
      <c r="A69" s="446"/>
      <c r="B69" s="446"/>
      <c r="C69" s="453" t="s">
        <v>153</v>
      </c>
      <c r="D69" s="483">
        <v>0.012</v>
      </c>
      <c r="E69" s="483"/>
      <c r="F69" s="49" t="s">
        <v>154</v>
      </c>
      <c r="G69" s="53">
        <v>16200</v>
      </c>
      <c r="H69" s="446"/>
      <c r="I69" s="485">
        <f>IF(I63&gt;16200,D69*16200,D69*I63)</f>
        <v>187.20000000000002</v>
      </c>
      <c r="J69" s="485"/>
    </row>
    <row r="70" spans="1:10" ht="12.75">
      <c r="A70" s="446"/>
      <c r="B70" s="446"/>
      <c r="C70" s="454" t="s">
        <v>155</v>
      </c>
      <c r="D70" s="483">
        <v>0.008</v>
      </c>
      <c r="E70" s="484"/>
      <c r="F70" s="49" t="s">
        <v>154</v>
      </c>
      <c r="G70" s="53">
        <v>7000</v>
      </c>
      <c r="H70" s="446"/>
      <c r="I70" s="485">
        <f>IF(I63&gt;7000,D70*7000,D70*I63)</f>
        <v>56</v>
      </c>
      <c r="J70" s="485"/>
    </row>
    <row r="71" spans="1:10" ht="12.75">
      <c r="A71" s="446"/>
      <c r="B71" s="446"/>
      <c r="C71" s="446"/>
      <c r="D71" s="446"/>
      <c r="E71" s="446"/>
      <c r="F71" s="446"/>
      <c r="G71" s="446"/>
      <c r="H71" s="446"/>
      <c r="I71" s="446"/>
      <c r="J71" s="446"/>
    </row>
    <row r="72" spans="1:10" ht="12.75">
      <c r="A72" s="446"/>
      <c r="B72" s="482" t="s">
        <v>156</v>
      </c>
      <c r="C72" s="482"/>
      <c r="D72" s="482"/>
      <c r="E72" s="482"/>
      <c r="F72" s="446"/>
      <c r="G72" s="446"/>
      <c r="H72" s="446"/>
      <c r="I72" s="446"/>
      <c r="J72" s="446"/>
    </row>
    <row r="73" spans="1:10" ht="12.75">
      <c r="A73" s="446"/>
      <c r="B73" s="446"/>
      <c r="C73" s="50">
        <v>3.79</v>
      </c>
      <c r="D73" s="478" t="s">
        <v>157</v>
      </c>
      <c r="E73" s="478"/>
      <c r="F73" s="446"/>
      <c r="G73" s="446"/>
      <c r="H73" s="446"/>
      <c r="I73" s="488">
        <f>((I63/100)*C73)</f>
        <v>591.24</v>
      </c>
      <c r="J73" s="488"/>
    </row>
    <row r="74" spans="1:10" ht="13.5" thickBot="1">
      <c r="A74" s="446"/>
      <c r="B74" s="446"/>
      <c r="C74" s="446"/>
      <c r="D74" s="446"/>
      <c r="E74" s="446"/>
      <c r="F74" s="446"/>
      <c r="G74" s="446"/>
      <c r="H74" s="446"/>
      <c r="I74" s="446"/>
      <c r="J74" s="446"/>
    </row>
    <row r="75" spans="1:10" ht="14.25" thickBot="1" thickTop="1">
      <c r="A75" s="446"/>
      <c r="B75" s="489" t="s">
        <v>158</v>
      </c>
      <c r="C75" s="489"/>
      <c r="D75" s="489"/>
      <c r="E75" s="489"/>
      <c r="F75" s="489"/>
      <c r="G75" s="489"/>
      <c r="H75" s="455"/>
      <c r="I75" s="495">
        <f>(I63+I65+I66+I69+I70+I73)</f>
        <v>17627.840000000004</v>
      </c>
      <c r="J75" s="496"/>
    </row>
    <row r="76" spans="1:10" ht="13.5" thickTop="1">
      <c r="A76" s="446"/>
      <c r="B76" s="446"/>
      <c r="C76" s="446"/>
      <c r="D76" s="446"/>
      <c r="E76" s="446"/>
      <c r="F76" s="446"/>
      <c r="G76" s="446"/>
      <c r="H76" s="446"/>
      <c r="I76" s="446"/>
      <c r="J76" s="446"/>
    </row>
    <row r="77" spans="1:10" ht="12.75">
      <c r="A77" s="446"/>
      <c r="B77" s="487" t="s">
        <v>159</v>
      </c>
      <c r="C77" s="487"/>
      <c r="D77" s="446"/>
      <c r="E77" s="446"/>
      <c r="F77" s="446"/>
      <c r="G77" s="446"/>
      <c r="H77" s="446"/>
      <c r="I77" s="446"/>
      <c r="J77" s="446"/>
    </row>
    <row r="78" spans="1:10" ht="12.75">
      <c r="A78" s="446"/>
      <c r="B78" s="482" t="s">
        <v>160</v>
      </c>
      <c r="C78" s="482"/>
      <c r="D78" s="450"/>
      <c r="E78" s="446"/>
      <c r="F78" s="446"/>
      <c r="G78" s="446"/>
      <c r="H78" s="446"/>
      <c r="I78" s="491">
        <v>0</v>
      </c>
      <c r="J78" s="491"/>
    </row>
    <row r="79" spans="1:10" ht="12.75">
      <c r="A79" s="446"/>
      <c r="B79" s="482" t="s">
        <v>161</v>
      </c>
      <c r="C79" s="482"/>
      <c r="D79" s="446"/>
      <c r="E79" s="446"/>
      <c r="F79" s="446"/>
      <c r="G79" s="446"/>
      <c r="H79" s="446"/>
      <c r="I79" s="446"/>
      <c r="J79" s="446"/>
    </row>
    <row r="80" spans="1:10" ht="12.75">
      <c r="A80" s="446"/>
      <c r="B80" s="446"/>
      <c r="C80" s="450" t="s">
        <v>162</v>
      </c>
      <c r="D80" s="450"/>
      <c r="E80" s="446"/>
      <c r="F80" s="446"/>
      <c r="G80" s="446"/>
      <c r="H80" s="446"/>
      <c r="I80" s="491">
        <v>0</v>
      </c>
      <c r="J80" s="491"/>
    </row>
    <row r="81" spans="1:10" ht="12.75">
      <c r="A81" s="446"/>
      <c r="B81" s="446"/>
      <c r="C81" s="450" t="s">
        <v>163</v>
      </c>
      <c r="D81" s="446"/>
      <c r="E81" s="446"/>
      <c r="F81" s="446"/>
      <c r="G81" s="446"/>
      <c r="H81" s="446"/>
      <c r="I81" s="491">
        <v>0</v>
      </c>
      <c r="J81" s="491"/>
    </row>
    <row r="82" spans="1:10" ht="12.75">
      <c r="A82" s="446"/>
      <c r="B82" s="446"/>
      <c r="C82" s="446" t="s">
        <v>164</v>
      </c>
      <c r="D82" s="446"/>
      <c r="E82" s="446"/>
      <c r="F82" s="446"/>
      <c r="G82" s="446"/>
      <c r="H82" s="446"/>
      <c r="I82" s="491">
        <v>0</v>
      </c>
      <c r="J82" s="491"/>
    </row>
    <row r="83" spans="1:10" ht="12.75">
      <c r="A83" s="446"/>
      <c r="B83" s="446"/>
      <c r="C83" s="446" t="s">
        <v>165</v>
      </c>
      <c r="D83" s="446"/>
      <c r="E83" s="446"/>
      <c r="F83" s="446"/>
      <c r="G83" s="446"/>
      <c r="H83" s="446"/>
      <c r="I83" s="491">
        <v>0</v>
      </c>
      <c r="J83" s="491"/>
    </row>
    <row r="84" spans="1:10" ht="12.75">
      <c r="A84" s="446"/>
      <c r="B84" s="446"/>
      <c r="C84" s="482" t="s">
        <v>166</v>
      </c>
      <c r="D84" s="482"/>
      <c r="E84" s="446"/>
      <c r="F84" s="446"/>
      <c r="G84" s="446"/>
      <c r="H84" s="446"/>
      <c r="I84" s="491">
        <v>0</v>
      </c>
      <c r="J84" s="491"/>
    </row>
    <row r="85" spans="1:10" ht="12.75">
      <c r="A85" s="446"/>
      <c r="B85" s="446"/>
      <c r="C85" s="446" t="s">
        <v>167</v>
      </c>
      <c r="D85" s="478"/>
      <c r="E85" s="478"/>
      <c r="F85" s="478"/>
      <c r="G85" s="446"/>
      <c r="H85" s="446"/>
      <c r="I85" s="494">
        <v>0</v>
      </c>
      <c r="J85" s="494"/>
    </row>
    <row r="86" spans="1:10" ht="12.75">
      <c r="A86" s="446"/>
      <c r="B86" s="446"/>
      <c r="C86" s="446" t="s">
        <v>168</v>
      </c>
      <c r="D86" s="478"/>
      <c r="E86" s="478"/>
      <c r="F86" s="478"/>
      <c r="G86" s="446"/>
      <c r="H86" s="446"/>
      <c r="I86" s="491">
        <v>0</v>
      </c>
      <c r="J86" s="491"/>
    </row>
    <row r="87" spans="1:10" ht="12.75">
      <c r="A87" s="446"/>
      <c r="B87" s="446"/>
      <c r="C87" s="446" t="s">
        <v>169</v>
      </c>
      <c r="D87" s="446"/>
      <c r="E87" s="446"/>
      <c r="F87" s="446"/>
      <c r="G87" s="446"/>
      <c r="H87" s="446"/>
      <c r="I87" s="491">
        <f>SUM(I80:I86)</f>
        <v>0</v>
      </c>
      <c r="J87" s="491"/>
    </row>
    <row r="88" spans="1:10" ht="12.75">
      <c r="A88" s="446"/>
      <c r="B88" s="482" t="s">
        <v>170</v>
      </c>
      <c r="C88" s="482"/>
      <c r="D88" s="478"/>
      <c r="E88" s="478"/>
      <c r="F88" s="478"/>
      <c r="G88" s="446"/>
      <c r="H88" s="446"/>
      <c r="I88" s="491">
        <v>0</v>
      </c>
      <c r="J88" s="491"/>
    </row>
    <row r="89" spans="1:10" ht="12.75">
      <c r="A89" s="446"/>
      <c r="B89" s="482" t="s">
        <v>171</v>
      </c>
      <c r="C89" s="482"/>
      <c r="D89" s="446"/>
      <c r="E89" s="446"/>
      <c r="F89" s="446"/>
      <c r="G89" s="446"/>
      <c r="H89" s="446"/>
      <c r="I89" s="493">
        <v>0</v>
      </c>
      <c r="J89" s="493"/>
    </row>
    <row r="90" spans="1:10" ht="12.75">
      <c r="A90" s="446"/>
      <c r="B90" s="482" t="s">
        <v>172</v>
      </c>
      <c r="C90" s="482"/>
      <c r="D90" s="446"/>
      <c r="E90" s="446"/>
      <c r="F90" s="446"/>
      <c r="G90" s="446"/>
      <c r="H90" s="446"/>
      <c r="I90" s="493">
        <v>0</v>
      </c>
      <c r="J90" s="493"/>
    </row>
    <row r="91" spans="1:10" ht="12.75">
      <c r="A91" s="446"/>
      <c r="B91" s="482" t="s">
        <v>173</v>
      </c>
      <c r="C91" s="482"/>
      <c r="D91" s="446"/>
      <c r="E91" s="446"/>
      <c r="F91" s="446"/>
      <c r="G91" s="446"/>
      <c r="H91" s="446"/>
      <c r="I91" s="493">
        <v>0</v>
      </c>
      <c r="J91" s="493"/>
    </row>
    <row r="92" spans="1:10" ht="12.75">
      <c r="A92" s="446"/>
      <c r="B92" s="482" t="s">
        <v>174</v>
      </c>
      <c r="C92" s="482"/>
      <c r="D92" s="482"/>
      <c r="E92" s="482"/>
      <c r="F92" s="482"/>
      <c r="G92" s="446"/>
      <c r="H92" s="446"/>
      <c r="I92" s="493">
        <v>0</v>
      </c>
      <c r="J92" s="493"/>
    </row>
    <row r="93" spans="1:10" ht="12.75">
      <c r="A93" s="446"/>
      <c r="B93" s="482" t="s">
        <v>175</v>
      </c>
      <c r="C93" s="482"/>
      <c r="D93" s="446"/>
      <c r="E93" s="446"/>
      <c r="F93" s="446"/>
      <c r="G93" s="446"/>
      <c r="H93" s="446"/>
      <c r="I93" s="493">
        <v>0</v>
      </c>
      <c r="J93" s="493"/>
    </row>
    <row r="94" spans="1:10" ht="12.75">
      <c r="A94" s="446"/>
      <c r="B94" s="446" t="s">
        <v>176</v>
      </c>
      <c r="C94" s="492"/>
      <c r="D94" s="492"/>
      <c r="E94" s="492"/>
      <c r="F94" s="492"/>
      <c r="G94" s="446"/>
      <c r="H94" s="446"/>
      <c r="I94" s="493">
        <v>0</v>
      </c>
      <c r="J94" s="493"/>
    </row>
    <row r="95" spans="1:10" ht="12.75">
      <c r="A95" s="446"/>
      <c r="B95" s="446" t="s">
        <v>177</v>
      </c>
      <c r="C95" s="492"/>
      <c r="D95" s="492"/>
      <c r="E95" s="492"/>
      <c r="F95" s="492"/>
      <c r="G95" s="446"/>
      <c r="H95" s="446"/>
      <c r="I95" s="493">
        <v>0</v>
      </c>
      <c r="J95" s="493"/>
    </row>
    <row r="96" spans="1:10" ht="12.75">
      <c r="A96" s="446"/>
      <c r="B96" s="446" t="s">
        <v>178</v>
      </c>
      <c r="C96" s="492"/>
      <c r="D96" s="492"/>
      <c r="E96" s="492"/>
      <c r="F96" s="492"/>
      <c r="G96" s="446"/>
      <c r="H96" s="446"/>
      <c r="I96" s="493">
        <v>0</v>
      </c>
      <c r="J96" s="493"/>
    </row>
    <row r="97" spans="1:10" ht="13.5" thickBot="1">
      <c r="A97" s="446"/>
      <c r="B97" s="446" t="s">
        <v>179</v>
      </c>
      <c r="C97" s="492"/>
      <c r="D97" s="492"/>
      <c r="E97" s="492"/>
      <c r="F97" s="492"/>
      <c r="G97" s="446"/>
      <c r="H97" s="446"/>
      <c r="I97" s="493">
        <v>0</v>
      </c>
      <c r="J97" s="493"/>
    </row>
    <row r="98" spans="1:10" ht="13.5" thickTop="1">
      <c r="A98" s="446"/>
      <c r="B98" s="497" t="s">
        <v>180</v>
      </c>
      <c r="C98" s="497"/>
      <c r="D98" s="497"/>
      <c r="E98" s="497"/>
      <c r="F98" s="497"/>
      <c r="G98" s="456"/>
      <c r="H98" s="455"/>
      <c r="I98" s="498">
        <f>(I78+I87+I88+I89+I90+I91+I92+I93+I94+I95+I96+I97)</f>
        <v>0</v>
      </c>
      <c r="J98" s="499"/>
    </row>
    <row r="99" spans="1:10" ht="13.5" thickBot="1">
      <c r="A99" s="446"/>
      <c r="B99" s="500" t="s">
        <v>181</v>
      </c>
      <c r="C99" s="500"/>
      <c r="D99" s="500"/>
      <c r="E99" s="500"/>
      <c r="F99" s="500"/>
      <c r="G99" s="455"/>
      <c r="H99" s="455"/>
      <c r="I99" s="501">
        <f>(I75+I98)</f>
        <v>17627.840000000004</v>
      </c>
      <c r="J99" s="502"/>
    </row>
    <row r="100" spans="1:10" ht="13.5" thickTop="1">
      <c r="A100" s="446"/>
      <c r="B100" s="487" t="s">
        <v>182</v>
      </c>
      <c r="C100" s="487"/>
      <c r="D100" s="487"/>
      <c r="E100" s="450"/>
      <c r="F100" s="446"/>
      <c r="G100" s="446"/>
      <c r="H100" s="446"/>
      <c r="I100" s="446"/>
      <c r="J100" s="446"/>
    </row>
    <row r="101" spans="1:10" ht="12.75">
      <c r="A101" s="446"/>
      <c r="B101" s="482" t="s">
        <v>183</v>
      </c>
      <c r="C101" s="482"/>
      <c r="D101" s="54">
        <v>0</v>
      </c>
      <c r="E101" s="478" t="s">
        <v>184</v>
      </c>
      <c r="F101" s="478"/>
      <c r="G101" s="457">
        <f>(D101*8)</f>
        <v>0</v>
      </c>
      <c r="H101" s="451" t="s">
        <v>185</v>
      </c>
      <c r="I101" s="451"/>
      <c r="J101" s="446"/>
    </row>
    <row r="102" spans="1:10" ht="12.75">
      <c r="A102" s="446"/>
      <c r="B102" s="482" t="s">
        <v>186</v>
      </c>
      <c r="C102" s="482"/>
      <c r="D102" s="54">
        <v>0</v>
      </c>
      <c r="E102" s="478" t="s">
        <v>184</v>
      </c>
      <c r="F102" s="478"/>
      <c r="G102" s="457">
        <f>(D102*8)</f>
        <v>0</v>
      </c>
      <c r="H102" s="458" t="s">
        <v>185</v>
      </c>
      <c r="I102" s="446"/>
      <c r="J102" s="446"/>
    </row>
    <row r="103" spans="1:10" ht="12.75">
      <c r="A103" s="446"/>
      <c r="B103" s="482" t="s">
        <v>187</v>
      </c>
      <c r="C103" s="482"/>
      <c r="D103" s="54">
        <v>0</v>
      </c>
      <c r="E103" s="478" t="s">
        <v>184</v>
      </c>
      <c r="F103" s="478"/>
      <c r="G103" s="457">
        <f>(D103*8)</f>
        <v>0</v>
      </c>
      <c r="H103" s="458" t="s">
        <v>185</v>
      </c>
      <c r="I103" s="446"/>
      <c r="J103" s="446"/>
    </row>
    <row r="104" spans="1:10" ht="12.75">
      <c r="A104" s="446"/>
      <c r="B104" s="482" t="s">
        <v>188</v>
      </c>
      <c r="C104" s="482"/>
      <c r="D104" s="482"/>
      <c r="E104" s="482"/>
      <c r="F104" s="446"/>
      <c r="G104" s="457">
        <f>(G101+G102+G103)</f>
        <v>0</v>
      </c>
      <c r="H104" s="451" t="s">
        <v>189</v>
      </c>
      <c r="I104" s="446"/>
      <c r="J104" s="446"/>
    </row>
    <row r="105" spans="1:10" ht="12.75">
      <c r="A105" s="446"/>
      <c r="B105" s="482" t="s">
        <v>190</v>
      </c>
      <c r="C105" s="482"/>
      <c r="D105" s="482"/>
      <c r="E105" s="446"/>
      <c r="F105" s="446"/>
      <c r="G105" s="457">
        <f>(D63-G104)</f>
        <v>2080</v>
      </c>
      <c r="H105" s="446"/>
      <c r="I105" s="446"/>
      <c r="J105" s="446"/>
    </row>
    <row r="106" spans="1:10" ht="13.5" thickBot="1">
      <c r="A106" s="446"/>
      <c r="B106" s="450"/>
      <c r="C106" s="450"/>
      <c r="D106" s="450"/>
      <c r="E106" s="446"/>
      <c r="F106" s="446"/>
      <c r="G106" s="457"/>
      <c r="H106" s="446"/>
      <c r="I106" s="446"/>
      <c r="J106" s="446"/>
    </row>
    <row r="107" spans="1:10" ht="14.25" thickBot="1" thickTop="1">
      <c r="A107" s="446"/>
      <c r="B107" s="500" t="s">
        <v>191</v>
      </c>
      <c r="C107" s="500"/>
      <c r="D107" s="500"/>
      <c r="E107" s="500"/>
      <c r="F107" s="500"/>
      <c r="G107" s="500"/>
      <c r="H107" s="455"/>
      <c r="I107" s="503">
        <f>(I99/G105)</f>
        <v>8.474923076923078</v>
      </c>
      <c r="J107" s="504"/>
    </row>
    <row r="108" ht="13.5" thickTop="1"/>
  </sheetData>
  <sheetProtection password="EB79" sheet="1" objects="1" scenarios="1" selectLockedCells="1"/>
  <mergeCells count="144">
    <mergeCell ref="I107:J107"/>
    <mergeCell ref="B53:G53"/>
    <mergeCell ref="I53:J53"/>
    <mergeCell ref="B103:C103"/>
    <mergeCell ref="E103:F103"/>
    <mergeCell ref="B99:F99"/>
    <mergeCell ref="I97:J97"/>
    <mergeCell ref="I99:J99"/>
    <mergeCell ref="B104:E104"/>
    <mergeCell ref="B105:D105"/>
    <mergeCell ref="B100:D100"/>
    <mergeCell ref="B50:E50"/>
    <mergeCell ref="B101:C101"/>
    <mergeCell ref="E101:F101"/>
    <mergeCell ref="C97:F97"/>
    <mergeCell ref="B107:G107"/>
    <mergeCell ref="B51:D51"/>
    <mergeCell ref="B102:C102"/>
    <mergeCell ref="E102:F102"/>
    <mergeCell ref="B98:F98"/>
    <mergeCell ref="I98:J98"/>
    <mergeCell ref="C96:F96"/>
    <mergeCell ref="I96:J96"/>
    <mergeCell ref="B48:C48"/>
    <mergeCell ref="E48:F48"/>
    <mergeCell ref="C95:F95"/>
    <mergeCell ref="I95:J95"/>
    <mergeCell ref="B49:C49"/>
    <mergeCell ref="E49:F49"/>
    <mergeCell ref="C94:F94"/>
    <mergeCell ref="I94:J94"/>
    <mergeCell ref="B46:D46"/>
    <mergeCell ref="B93:C93"/>
    <mergeCell ref="I93:J93"/>
    <mergeCell ref="B47:C47"/>
    <mergeCell ref="E47:F47"/>
    <mergeCell ref="B92:F92"/>
    <mergeCell ref="I92:J92"/>
    <mergeCell ref="B91:C91"/>
    <mergeCell ref="I91:J91"/>
    <mergeCell ref="B90:C90"/>
    <mergeCell ref="I90:J90"/>
    <mergeCell ref="B89:C89"/>
    <mergeCell ref="I89:J89"/>
    <mergeCell ref="B88:C88"/>
    <mergeCell ref="D88:F88"/>
    <mergeCell ref="I87:J87"/>
    <mergeCell ref="B44:F44"/>
    <mergeCell ref="I44:J44"/>
    <mergeCell ref="D86:F86"/>
    <mergeCell ref="I86:J86"/>
    <mergeCell ref="I88:J88"/>
    <mergeCell ref="I73:J73"/>
    <mergeCell ref="B45:F45"/>
    <mergeCell ref="I45:J45"/>
    <mergeCell ref="D85:F85"/>
    <mergeCell ref="I85:J85"/>
    <mergeCell ref="I81:J81"/>
    <mergeCell ref="C42:F42"/>
    <mergeCell ref="I42:J42"/>
    <mergeCell ref="C84:D84"/>
    <mergeCell ref="I84:J84"/>
    <mergeCell ref="C43:F43"/>
    <mergeCell ref="I43:J43"/>
    <mergeCell ref="I36:J36"/>
    <mergeCell ref="I82:J82"/>
    <mergeCell ref="B39:C39"/>
    <mergeCell ref="I83:J83"/>
    <mergeCell ref="I80:J80"/>
    <mergeCell ref="B37:C37"/>
    <mergeCell ref="I37:J37"/>
    <mergeCell ref="B38:F38"/>
    <mergeCell ref="C41:F41"/>
    <mergeCell ref="I41:J41"/>
    <mergeCell ref="I29:J29"/>
    <mergeCell ref="C30:D30"/>
    <mergeCell ref="I30:J30"/>
    <mergeCell ref="B79:C79"/>
    <mergeCell ref="D31:F31"/>
    <mergeCell ref="B34:C34"/>
    <mergeCell ref="D34:F34"/>
    <mergeCell ref="I38:J38"/>
    <mergeCell ref="I75:J75"/>
    <mergeCell ref="B72:E72"/>
    <mergeCell ref="I27:J27"/>
    <mergeCell ref="B77:C77"/>
    <mergeCell ref="I28:J28"/>
    <mergeCell ref="B78:C78"/>
    <mergeCell ref="I78:J78"/>
    <mergeCell ref="D32:F32"/>
    <mergeCell ref="I32:J32"/>
    <mergeCell ref="D73:E73"/>
    <mergeCell ref="I33:J33"/>
    <mergeCell ref="B75:G75"/>
    <mergeCell ref="I31:J31"/>
    <mergeCell ref="I34:J34"/>
    <mergeCell ref="D70:E70"/>
    <mergeCell ref="I70:J70"/>
    <mergeCell ref="B65:D65"/>
    <mergeCell ref="I65:J65"/>
    <mergeCell ref="I39:J39"/>
    <mergeCell ref="B35:C35"/>
    <mergeCell ref="I35:J35"/>
    <mergeCell ref="B36:C36"/>
    <mergeCell ref="B14:D14"/>
    <mergeCell ref="D69:E69"/>
    <mergeCell ref="I69:J69"/>
    <mergeCell ref="D15:E15"/>
    <mergeCell ref="I15:J15"/>
    <mergeCell ref="D19:E19"/>
    <mergeCell ref="B25:C25"/>
    <mergeCell ref="I26:J26"/>
    <mergeCell ref="C40:F40"/>
    <mergeCell ref="I40:J40"/>
    <mergeCell ref="I19:J19"/>
    <mergeCell ref="B66:D66"/>
    <mergeCell ref="B21:G21"/>
    <mergeCell ref="I21:J21"/>
    <mergeCell ref="B60:E60"/>
    <mergeCell ref="I60:J60"/>
    <mergeCell ref="B23:C23"/>
    <mergeCell ref="I66:J66"/>
    <mergeCell ref="B24:C24"/>
    <mergeCell ref="I24:J24"/>
    <mergeCell ref="D16:E16"/>
    <mergeCell ref="I16:J16"/>
    <mergeCell ref="B18:E18"/>
    <mergeCell ref="B68:D68"/>
    <mergeCell ref="I11:J11"/>
    <mergeCell ref="D4:F4"/>
    <mergeCell ref="H4:J4"/>
    <mergeCell ref="B6:E6"/>
    <mergeCell ref="B12:D12"/>
    <mergeCell ref="I12:J12"/>
    <mergeCell ref="I6:J6"/>
    <mergeCell ref="I63:J63"/>
    <mergeCell ref="I9:J9"/>
    <mergeCell ref="B55:J55"/>
    <mergeCell ref="B1:J1"/>
    <mergeCell ref="B56:J56"/>
    <mergeCell ref="B2:J2"/>
    <mergeCell ref="D58:F58"/>
    <mergeCell ref="H58:J58"/>
    <mergeCell ref="B11:D11"/>
  </mergeCells>
  <printOptions/>
  <pageMargins left="0.7" right="0.7" top="0.5" bottom="0.5" header="0.3" footer="0.3"/>
  <pageSetup horizontalDpi="200" verticalDpi="200" orientation="portrait" scale="80"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T202"/>
  <sheetViews>
    <sheetView showGridLines="0" zoomScalePageLayoutView="0" workbookViewId="0" topLeftCell="A1">
      <selection activeCell="M32" sqref="M32"/>
    </sheetView>
  </sheetViews>
  <sheetFormatPr defaultColWidth="9.140625" defaultRowHeight="12.75"/>
  <cols>
    <col min="1" max="1" width="5.8515625" style="13" customWidth="1"/>
    <col min="2" max="2" width="7.7109375" style="13" customWidth="1"/>
    <col min="3" max="3" width="5.00390625" style="13" customWidth="1"/>
    <col min="4" max="4" width="7.8515625" style="13" customWidth="1"/>
    <col min="5" max="5" width="22.8515625" style="13" customWidth="1"/>
    <col min="6" max="6" width="9.00390625" style="13" customWidth="1"/>
    <col min="7" max="7" width="7.7109375" style="237" customWidth="1"/>
    <col min="8" max="8" width="9.421875" style="237" customWidth="1"/>
    <col min="9" max="9" width="8.28125" style="237" customWidth="1"/>
    <col min="10" max="10" width="7.8515625" style="13" customWidth="1"/>
    <col min="11" max="11" width="7.28125" style="13" customWidth="1"/>
    <col min="12" max="12" width="10.00390625" style="237" customWidth="1"/>
    <col min="13" max="13" width="8.57421875" style="13" customWidth="1"/>
    <col min="14" max="14" width="7.28125" style="13" customWidth="1"/>
    <col min="15" max="15" width="9.7109375" style="13" customWidth="1"/>
    <col min="16" max="16" width="11.00390625" style="13" customWidth="1"/>
    <col min="17" max="17" width="11.8515625" style="13" customWidth="1"/>
    <col min="18" max="16384" width="9.140625" style="13" customWidth="1"/>
  </cols>
  <sheetData>
    <row r="1" spans="1:17" ht="9.75">
      <c r="A1" s="281" t="s">
        <v>245</v>
      </c>
      <c r="B1" s="33"/>
      <c r="C1" s="33"/>
      <c r="D1" s="33"/>
      <c r="E1" s="33"/>
      <c r="F1" s="33"/>
      <c r="G1" s="236"/>
      <c r="H1" s="236"/>
      <c r="I1" s="236"/>
      <c r="J1" s="33"/>
      <c r="K1" s="33"/>
      <c r="L1" s="236"/>
      <c r="M1" s="33"/>
      <c r="N1" s="33"/>
      <c r="O1" s="33"/>
      <c r="P1" s="33"/>
      <c r="Q1" s="33"/>
    </row>
    <row r="2" spans="1:18" ht="9.75">
      <c r="A2" s="1" t="s">
        <v>3</v>
      </c>
      <c r="B2" s="280" t="s">
        <v>45</v>
      </c>
      <c r="C2" s="280"/>
      <c r="D2" s="280"/>
      <c r="E2" s="280"/>
      <c r="F2" s="317"/>
      <c r="G2" s="1" t="s">
        <v>63</v>
      </c>
      <c r="H2" s="327"/>
      <c r="I2" s="280"/>
      <c r="J2" s="3" t="s">
        <v>4</v>
      </c>
      <c r="K2" s="1"/>
      <c r="L2" s="327"/>
      <c r="M2" s="3"/>
      <c r="N2" s="1" t="s">
        <v>5</v>
      </c>
      <c r="O2" s="336"/>
      <c r="P2" s="336" t="s">
        <v>6</v>
      </c>
      <c r="Q2" s="1" t="s">
        <v>7</v>
      </c>
      <c r="R2" s="355"/>
    </row>
    <row r="3" spans="1:18" ht="12.75" customHeight="1">
      <c r="A3" s="1"/>
      <c r="B3" s="2" t="s">
        <v>46</v>
      </c>
      <c r="C3" s="2"/>
      <c r="D3" s="2"/>
      <c r="E3" s="1"/>
      <c r="F3" s="317" t="s">
        <v>8</v>
      </c>
      <c r="G3" s="3" t="s">
        <v>9</v>
      </c>
      <c r="H3" s="327" t="s">
        <v>10</v>
      </c>
      <c r="I3" s="3" t="s">
        <v>11</v>
      </c>
      <c r="J3" s="1" t="s">
        <v>12</v>
      </c>
      <c r="K3" s="1" t="s">
        <v>119</v>
      </c>
      <c r="L3" s="327" t="s">
        <v>13</v>
      </c>
      <c r="M3" s="1" t="s">
        <v>8</v>
      </c>
      <c r="N3" s="1" t="s">
        <v>9</v>
      </c>
      <c r="O3" s="336" t="s">
        <v>14</v>
      </c>
      <c r="P3" s="336" t="s">
        <v>15</v>
      </c>
      <c r="Q3" s="1" t="s">
        <v>15</v>
      </c>
      <c r="R3" s="355"/>
    </row>
    <row r="4" spans="1:18" ht="9.75">
      <c r="A4" s="282" t="s">
        <v>2</v>
      </c>
      <c r="B4" s="283"/>
      <c r="C4" s="284"/>
      <c r="D4" s="284"/>
      <c r="E4" s="282"/>
      <c r="F4" s="318"/>
      <c r="G4" s="286"/>
      <c r="H4" s="328"/>
      <c r="I4" s="286"/>
      <c r="J4" s="285"/>
      <c r="K4" s="285"/>
      <c r="L4" s="328"/>
      <c r="M4" s="285"/>
      <c r="N4" s="285"/>
      <c r="O4" s="337"/>
      <c r="P4" s="344"/>
      <c r="Q4" s="284"/>
      <c r="R4" s="355"/>
    </row>
    <row r="5" spans="1:18" ht="9.75">
      <c r="A5" s="287" t="s">
        <v>48</v>
      </c>
      <c r="B5" s="288"/>
      <c r="C5" s="288"/>
      <c r="D5" s="288"/>
      <c r="E5" s="288"/>
      <c r="F5" s="319"/>
      <c r="G5" s="289"/>
      <c r="H5" s="329"/>
      <c r="I5" s="289"/>
      <c r="J5" s="290"/>
      <c r="K5" s="291"/>
      <c r="L5" s="329"/>
      <c r="M5" s="288"/>
      <c r="N5" s="292"/>
      <c r="O5" s="338"/>
      <c r="P5" s="345"/>
      <c r="Q5" s="287" t="s">
        <v>48</v>
      </c>
      <c r="R5" s="355"/>
    </row>
    <row r="6" spans="1:18" ht="9.75">
      <c r="A6" s="277"/>
      <c r="B6" s="33" t="s">
        <v>47</v>
      </c>
      <c r="C6" s="33"/>
      <c r="D6" s="33"/>
      <c r="E6" s="11"/>
      <c r="F6" s="320"/>
      <c r="G6" s="174"/>
      <c r="H6" s="330"/>
      <c r="I6" s="293">
        <f>Materials!D40</f>
        <v>250</v>
      </c>
      <c r="J6" s="279"/>
      <c r="K6" s="248">
        <v>1</v>
      </c>
      <c r="L6" s="333">
        <f>I6*K6</f>
        <v>250</v>
      </c>
      <c r="M6" s="460">
        <v>4.8</v>
      </c>
      <c r="N6" s="179">
        <f>Labor!I107</f>
        <v>8.474923076923078</v>
      </c>
      <c r="O6" s="339">
        <f>M6*N6</f>
        <v>40.679630769230776</v>
      </c>
      <c r="P6" s="346">
        <f>L6+O6</f>
        <v>290.67963076923076</v>
      </c>
      <c r="Q6" s="33"/>
      <c r="R6" s="355"/>
    </row>
    <row r="7" spans="1:18" ht="9.75">
      <c r="A7" s="277" t="s">
        <v>49</v>
      </c>
      <c r="B7" s="277"/>
      <c r="C7" s="277"/>
      <c r="D7" s="277"/>
      <c r="E7" s="294"/>
      <c r="F7" s="321"/>
      <c r="G7" s="296"/>
      <c r="H7" s="331"/>
      <c r="I7" s="296"/>
      <c r="J7" s="297"/>
      <c r="K7" s="297"/>
      <c r="L7" s="331">
        <f>L6</f>
        <v>250</v>
      </c>
      <c r="M7" s="298">
        <f>SUM(M6:M6)</f>
        <v>4.8</v>
      </c>
      <c r="N7" s="297"/>
      <c r="O7" s="340">
        <f>SUM(O6:O6)</f>
        <v>40.679630769230776</v>
      </c>
      <c r="P7" s="340">
        <f>SUM(P6:P6)</f>
        <v>290.67963076923076</v>
      </c>
      <c r="Q7" s="299">
        <f>P7</f>
        <v>290.67963076923076</v>
      </c>
      <c r="R7" s="355"/>
    </row>
    <row r="8" spans="1:18" ht="9.75">
      <c r="A8" s="287" t="s">
        <v>52</v>
      </c>
      <c r="B8" s="288"/>
      <c r="C8" s="288"/>
      <c r="D8" s="288"/>
      <c r="E8" s="300"/>
      <c r="F8" s="322"/>
      <c r="G8" s="302"/>
      <c r="H8" s="332"/>
      <c r="I8" s="302"/>
      <c r="J8" s="303"/>
      <c r="K8" s="300"/>
      <c r="L8" s="332"/>
      <c r="M8" s="304"/>
      <c r="N8" s="305"/>
      <c r="O8" s="341"/>
      <c r="P8" s="341"/>
      <c r="Q8" s="304" t="s">
        <v>52</v>
      </c>
      <c r="R8" s="355"/>
    </row>
    <row r="9" spans="1:18" ht="9.75">
      <c r="A9" s="277"/>
      <c r="B9" s="33" t="s">
        <v>20</v>
      </c>
      <c r="C9" s="33"/>
      <c r="D9" s="33"/>
      <c r="E9" s="11" t="s">
        <v>104</v>
      </c>
      <c r="F9" s="461">
        <v>1.1</v>
      </c>
      <c r="G9" s="174">
        <f>Machinery!U4+Machinery!U8</f>
        <v>15.200606248000001</v>
      </c>
      <c r="H9" s="330">
        <f>F9*G9</f>
        <v>16.720666872800003</v>
      </c>
      <c r="I9" s="174"/>
      <c r="J9" s="175"/>
      <c r="K9" s="176"/>
      <c r="L9" s="330"/>
      <c r="M9" s="177">
        <f>+$F9*1.2</f>
        <v>1.32</v>
      </c>
      <c r="N9" s="179">
        <f>Labor!I107</f>
        <v>8.474923076923078</v>
      </c>
      <c r="O9" s="342">
        <f>+$N9*$M9</f>
        <v>11.186898461538464</v>
      </c>
      <c r="P9" s="347">
        <f>$O9+$L9+$H9</f>
        <v>27.907565334338464</v>
      </c>
      <c r="Q9" s="33"/>
      <c r="R9" s="355"/>
    </row>
    <row r="10" spans="1:18" ht="9.75">
      <c r="A10" s="277"/>
      <c r="B10" s="33" t="s">
        <v>21</v>
      </c>
      <c r="C10" s="33"/>
      <c r="D10" s="33"/>
      <c r="E10" s="11" t="s">
        <v>22</v>
      </c>
      <c r="F10" s="461">
        <v>0.55</v>
      </c>
      <c r="G10" s="174">
        <f>Machinery!U4+Machinery!U9</f>
        <v>16.050654248</v>
      </c>
      <c r="H10" s="330">
        <f>F10*G10</f>
        <v>8.827859836400002</v>
      </c>
      <c r="I10" s="174"/>
      <c r="J10" s="175"/>
      <c r="K10" s="176"/>
      <c r="L10" s="330"/>
      <c r="M10" s="177">
        <f>+$F10*1.2</f>
        <v>0.66</v>
      </c>
      <c r="N10" s="179">
        <f>Labor!I107</f>
        <v>8.474923076923078</v>
      </c>
      <c r="O10" s="342">
        <f>+$N10*$M10</f>
        <v>5.593449230769232</v>
      </c>
      <c r="P10" s="347">
        <f>$O10+$L10+$H10</f>
        <v>14.421309067169233</v>
      </c>
      <c r="Q10" s="33"/>
      <c r="R10" s="355"/>
    </row>
    <row r="11" spans="1:18" ht="9.75">
      <c r="A11" s="277"/>
      <c r="B11" s="33" t="s">
        <v>246</v>
      </c>
      <c r="C11" s="33"/>
      <c r="D11" s="33"/>
      <c r="E11" s="11" t="s">
        <v>349</v>
      </c>
      <c r="F11" s="461">
        <v>1.5</v>
      </c>
      <c r="G11" s="174">
        <f>Machinery!U4+Machinery!U10</f>
        <v>13.527054248</v>
      </c>
      <c r="H11" s="330">
        <f>F11*G11</f>
        <v>20.290581372000002</v>
      </c>
      <c r="I11" s="174"/>
      <c r="J11" s="175"/>
      <c r="K11" s="176"/>
      <c r="L11" s="330"/>
      <c r="M11" s="177">
        <f>+$F11*1.2</f>
        <v>1.7999999999999998</v>
      </c>
      <c r="N11" s="179">
        <f>Labor!I107</f>
        <v>8.474923076923078</v>
      </c>
      <c r="O11" s="342">
        <f>+$N11*$M11</f>
        <v>15.254861538461538</v>
      </c>
      <c r="P11" s="347">
        <f>$O11+$L11+$H11</f>
        <v>35.54544291046154</v>
      </c>
      <c r="Q11" s="33"/>
      <c r="R11" s="355"/>
    </row>
    <row r="12" spans="1:18" ht="9.75">
      <c r="A12" s="277" t="s">
        <v>54</v>
      </c>
      <c r="B12" s="277"/>
      <c r="C12" s="277"/>
      <c r="D12" s="277"/>
      <c r="E12" s="294"/>
      <c r="F12" s="321">
        <f>SUM(F$9:F$11)</f>
        <v>3.1500000000000004</v>
      </c>
      <c r="G12" s="296"/>
      <c r="H12" s="331">
        <f>SUM(H$9:H$11)</f>
        <v>45.83910808120001</v>
      </c>
      <c r="I12" s="296"/>
      <c r="J12" s="295"/>
      <c r="K12" s="295"/>
      <c r="L12" s="331"/>
      <c r="M12" s="295">
        <f>SUM(M$9:M$11)</f>
        <v>3.78</v>
      </c>
      <c r="N12" s="296"/>
      <c r="O12" s="331">
        <f>SUM(O$9:O$11)</f>
        <v>32.03520923076923</v>
      </c>
      <c r="P12" s="331">
        <f>SUM(P$9:P$11)</f>
        <v>77.87431731196924</v>
      </c>
      <c r="Q12" s="296">
        <f>Q7+P12</f>
        <v>368.5539480812</v>
      </c>
      <c r="R12" s="355"/>
    </row>
    <row r="13" spans="1:18" ht="9.75">
      <c r="A13" s="287" t="s">
        <v>42</v>
      </c>
      <c r="B13" s="288"/>
      <c r="C13" s="288"/>
      <c r="D13" s="288"/>
      <c r="E13" s="300"/>
      <c r="F13" s="322"/>
      <c r="G13" s="302"/>
      <c r="H13" s="332"/>
      <c r="I13" s="302"/>
      <c r="J13" s="303"/>
      <c r="K13" s="300"/>
      <c r="L13" s="332"/>
      <c r="M13" s="304"/>
      <c r="N13" s="305"/>
      <c r="O13" s="341"/>
      <c r="P13" s="341"/>
      <c r="Q13" s="304" t="s">
        <v>42</v>
      </c>
      <c r="R13" s="355"/>
    </row>
    <row r="14" spans="1:18" ht="9.75">
      <c r="A14" s="277"/>
      <c r="B14" s="33" t="s">
        <v>248</v>
      </c>
      <c r="C14" s="33"/>
      <c r="D14" s="33"/>
      <c r="E14" s="11" t="s">
        <v>249</v>
      </c>
      <c r="F14" s="461">
        <v>0.75</v>
      </c>
      <c r="G14" s="174">
        <f>Machinery!U4+Machinery!U11</f>
        <v>14.038534248000001</v>
      </c>
      <c r="H14" s="330">
        <f>F14*G14</f>
        <v>10.528900686</v>
      </c>
      <c r="I14" s="174"/>
      <c r="J14" s="175"/>
      <c r="K14" s="176"/>
      <c r="L14" s="330"/>
      <c r="M14" s="177">
        <f>+$F14*1.2</f>
        <v>0.8999999999999999</v>
      </c>
      <c r="N14" s="179">
        <f>Labor!I107</f>
        <v>8.474923076923078</v>
      </c>
      <c r="O14" s="342">
        <f>+$N14*$M14</f>
        <v>7.627430769230769</v>
      </c>
      <c r="P14" s="347">
        <f aca="true" t="shared" si="0" ref="P14:P20">$O14+$L14+$H14</f>
        <v>18.15633145523077</v>
      </c>
      <c r="Q14" s="33"/>
      <c r="R14" s="355"/>
    </row>
    <row r="15" spans="1:20" ht="9.75">
      <c r="A15" s="277"/>
      <c r="B15" s="33" t="s">
        <v>2</v>
      </c>
      <c r="C15" s="242" t="s">
        <v>250</v>
      </c>
      <c r="D15" s="242"/>
      <c r="E15" s="242"/>
      <c r="F15" s="320"/>
      <c r="G15" s="174"/>
      <c r="H15" s="330"/>
      <c r="I15" s="174">
        <f>Materials!D10</f>
        <v>0.17</v>
      </c>
      <c r="J15" s="358" t="str">
        <f>Materials!C10</f>
        <v>lbs</v>
      </c>
      <c r="K15" s="176">
        <f>Materials!B10</f>
        <v>750</v>
      </c>
      <c r="L15" s="330">
        <f>+K15*I15</f>
        <v>127.50000000000001</v>
      </c>
      <c r="M15" s="177"/>
      <c r="N15" s="179"/>
      <c r="O15" s="342"/>
      <c r="P15" s="347">
        <f t="shared" si="0"/>
        <v>127.50000000000001</v>
      </c>
      <c r="Q15" s="33"/>
      <c r="R15" s="355"/>
      <c r="T15" s="459"/>
    </row>
    <row r="16" spans="1:18" ht="10.5" customHeight="1">
      <c r="A16" s="277"/>
      <c r="B16" s="33" t="s">
        <v>253</v>
      </c>
      <c r="C16" s="242"/>
      <c r="D16" s="242"/>
      <c r="E16" s="246" t="s">
        <v>53</v>
      </c>
      <c r="F16" s="463">
        <v>8.333</v>
      </c>
      <c r="G16" s="247">
        <f>Machinery!U14</f>
        <v>1.4496042</v>
      </c>
      <c r="H16" s="333">
        <f>F16*G16</f>
        <v>12.0795517986</v>
      </c>
      <c r="I16" s="278"/>
      <c r="J16" s="359"/>
      <c r="K16" s="248"/>
      <c r="L16" s="333"/>
      <c r="M16" s="462">
        <v>10</v>
      </c>
      <c r="N16" s="179">
        <f>Labor!I107</f>
        <v>8.474923076923078</v>
      </c>
      <c r="O16" s="333">
        <f>M16*N16</f>
        <v>84.74923076923078</v>
      </c>
      <c r="P16" s="347">
        <f t="shared" si="0"/>
        <v>96.82878256783079</v>
      </c>
      <c r="Q16" s="33"/>
      <c r="R16" s="355"/>
    </row>
    <row r="17" spans="1:18" ht="9.75">
      <c r="A17" s="277"/>
      <c r="B17" s="33" t="s">
        <v>254</v>
      </c>
      <c r="C17" s="242"/>
      <c r="D17" s="242"/>
      <c r="E17" s="242" t="s">
        <v>255</v>
      </c>
      <c r="F17" s="463">
        <v>3</v>
      </c>
      <c r="G17" s="247">
        <f>Machinery!U4+Machinery!U15</f>
        <v>68.30168124800001</v>
      </c>
      <c r="H17" s="333">
        <f>F17*G17</f>
        <v>204.905043744</v>
      </c>
      <c r="I17" s="174"/>
      <c r="J17" s="359"/>
      <c r="K17" s="176"/>
      <c r="L17" s="330"/>
      <c r="M17" s="177">
        <f>+$F17*1.2</f>
        <v>3.5999999999999996</v>
      </c>
      <c r="N17" s="179">
        <f>Labor!I107</f>
        <v>8.474923076923078</v>
      </c>
      <c r="O17" s="342">
        <f>+$N17*$M17</f>
        <v>30.509723076923077</v>
      </c>
      <c r="P17" s="347">
        <f t="shared" si="0"/>
        <v>235.4147668209231</v>
      </c>
      <c r="Q17" s="33"/>
      <c r="R17" s="355"/>
    </row>
    <row r="18" spans="1:18" ht="9.75">
      <c r="A18" s="277"/>
      <c r="B18" s="244"/>
      <c r="C18" s="244" t="s">
        <v>382</v>
      </c>
      <c r="D18" s="245"/>
      <c r="E18" s="246"/>
      <c r="F18" s="324"/>
      <c r="G18" s="247"/>
      <c r="H18" s="333"/>
      <c r="I18" s="174">
        <f>Materials!D7</f>
        <v>3.25</v>
      </c>
      <c r="J18" s="358" t="str">
        <f>Materials!C7</f>
        <v>lbs</v>
      </c>
      <c r="K18" s="176">
        <f>Materials!B7</f>
        <v>150</v>
      </c>
      <c r="L18" s="330">
        <f>+K18*I18</f>
        <v>487.5</v>
      </c>
      <c r="M18" s="248"/>
      <c r="N18" s="179"/>
      <c r="O18" s="333"/>
      <c r="P18" s="347">
        <f t="shared" si="0"/>
        <v>487.5</v>
      </c>
      <c r="Q18" s="33"/>
      <c r="R18" s="355"/>
    </row>
    <row r="19" spans="1:18" ht="9.75">
      <c r="A19" s="277"/>
      <c r="B19" s="244" t="s">
        <v>2</v>
      </c>
      <c r="C19" s="244" t="s">
        <v>256</v>
      </c>
      <c r="D19" s="245"/>
      <c r="E19" s="246"/>
      <c r="F19" s="325"/>
      <c r="G19" s="247"/>
      <c r="H19" s="333"/>
      <c r="I19" s="278">
        <f>Materials!D35</f>
        <v>105</v>
      </c>
      <c r="J19" s="360" t="str">
        <f>Materials!C35</f>
        <v>2400' roll</v>
      </c>
      <c r="K19" s="248">
        <f>Materials!B35</f>
        <v>3.5</v>
      </c>
      <c r="L19" s="333">
        <f>I19*K19</f>
        <v>367.5</v>
      </c>
      <c r="M19" s="248"/>
      <c r="N19" s="179"/>
      <c r="O19" s="333"/>
      <c r="P19" s="347">
        <f t="shared" si="0"/>
        <v>367.5</v>
      </c>
      <c r="Q19" s="33"/>
      <c r="R19" s="355"/>
    </row>
    <row r="20" spans="1:18" ht="9.75">
      <c r="A20" s="277"/>
      <c r="B20" s="244" t="s">
        <v>2</v>
      </c>
      <c r="C20" s="244" t="s">
        <v>106</v>
      </c>
      <c r="D20" s="245"/>
      <c r="E20" s="246"/>
      <c r="F20" s="325"/>
      <c r="G20" s="247"/>
      <c r="H20" s="333"/>
      <c r="I20" s="278">
        <f>Materials!D36</f>
        <v>135</v>
      </c>
      <c r="J20" s="360" t="str">
        <f>Materials!C36</f>
        <v>6000ft</v>
      </c>
      <c r="K20" s="248">
        <f>Materials!B36</f>
        <v>1.5</v>
      </c>
      <c r="L20" s="333">
        <f>I20</f>
        <v>135</v>
      </c>
      <c r="M20" s="248"/>
      <c r="N20" s="179"/>
      <c r="O20" s="333"/>
      <c r="P20" s="347">
        <f t="shared" si="0"/>
        <v>135</v>
      </c>
      <c r="Q20" s="33"/>
      <c r="R20" s="355"/>
    </row>
    <row r="21" spans="1:18" ht="9.75">
      <c r="A21" s="277" t="s">
        <v>43</v>
      </c>
      <c r="B21" s="277"/>
      <c r="C21" s="277"/>
      <c r="D21" s="277"/>
      <c r="E21" s="294"/>
      <c r="F21" s="321">
        <f>SUM(F$14:F$20)</f>
        <v>12.083</v>
      </c>
      <c r="G21" s="296"/>
      <c r="H21" s="331">
        <f>SUM(H$14:H$20)</f>
        <v>227.51349622860002</v>
      </c>
      <c r="I21" s="296"/>
      <c r="J21" s="295"/>
      <c r="K21" s="295"/>
      <c r="L21" s="331">
        <f>SUM(L$14:L$20)</f>
        <v>1117.5</v>
      </c>
      <c r="M21" s="295">
        <f>SUM(M$14:M$20)</f>
        <v>14.5</v>
      </c>
      <c r="N21" s="296"/>
      <c r="O21" s="331">
        <f>SUM(O$14:O$20)</f>
        <v>122.88638461538463</v>
      </c>
      <c r="P21" s="331">
        <f>SUM(P$14:P$20)</f>
        <v>1467.8998808439846</v>
      </c>
      <c r="Q21" s="296">
        <f>Q12+P21</f>
        <v>1836.4538289251846</v>
      </c>
      <c r="R21" s="355"/>
    </row>
    <row r="22" spans="1:18" ht="9.75">
      <c r="A22" s="287" t="s">
        <v>18</v>
      </c>
      <c r="B22" s="288"/>
      <c r="C22" s="288"/>
      <c r="D22" s="288"/>
      <c r="E22" s="300"/>
      <c r="F22" s="322"/>
      <c r="G22" s="302"/>
      <c r="H22" s="332"/>
      <c r="I22" s="302"/>
      <c r="J22" s="303"/>
      <c r="K22" s="300"/>
      <c r="L22" s="332"/>
      <c r="M22" s="304"/>
      <c r="N22" s="305"/>
      <c r="O22" s="341"/>
      <c r="P22" s="341"/>
      <c r="Q22" s="304" t="s">
        <v>18</v>
      </c>
      <c r="R22" s="355"/>
    </row>
    <row r="23" spans="1:18" ht="9.75">
      <c r="A23" s="277"/>
      <c r="B23" s="33" t="s">
        <v>257</v>
      </c>
      <c r="C23" s="33"/>
      <c r="D23" s="33"/>
      <c r="E23" s="11" t="s">
        <v>2</v>
      </c>
      <c r="F23" s="323"/>
      <c r="G23" s="174"/>
      <c r="H23" s="330"/>
      <c r="I23" s="174">
        <f>Materials!D33</f>
        <v>100</v>
      </c>
      <c r="J23" s="361">
        <f>Materials!C33</f>
        <v>1000</v>
      </c>
      <c r="K23" s="176">
        <f>Materials!B33</f>
        <v>5.5</v>
      </c>
      <c r="L23" s="333">
        <f>I23*K23</f>
        <v>550</v>
      </c>
      <c r="M23" s="464">
        <v>1</v>
      </c>
      <c r="N23" s="179">
        <f>Labor!I107</f>
        <v>8.474923076923078</v>
      </c>
      <c r="O23" s="342">
        <f>+$N23*$M23</f>
        <v>8.474923076923078</v>
      </c>
      <c r="P23" s="347">
        <f aca="true" t="shared" si="1" ref="P23:P45">$O23+$L23+$H23</f>
        <v>558.4749230769231</v>
      </c>
      <c r="Q23" s="33"/>
      <c r="R23" s="355"/>
    </row>
    <row r="24" spans="1:18" ht="9.75">
      <c r="A24" s="277"/>
      <c r="B24" s="33" t="s">
        <v>258</v>
      </c>
      <c r="C24" s="33"/>
      <c r="D24" s="33"/>
      <c r="E24" s="11" t="s">
        <v>99</v>
      </c>
      <c r="F24" s="461">
        <v>0.5</v>
      </c>
      <c r="G24" s="174">
        <f>Machinery!U17</f>
        <v>0.22036002666666665</v>
      </c>
      <c r="H24" s="330">
        <f>F24*G24</f>
        <v>0.11018001333333333</v>
      </c>
      <c r="I24" s="174"/>
      <c r="J24" s="175"/>
      <c r="K24" s="176"/>
      <c r="L24" s="330"/>
      <c r="M24" s="464">
        <v>1</v>
      </c>
      <c r="N24" s="179">
        <f>Labor!I107</f>
        <v>8.474923076923078</v>
      </c>
      <c r="O24" s="342">
        <f>+$N24*$M24</f>
        <v>8.474923076923078</v>
      </c>
      <c r="P24" s="347">
        <f t="shared" si="1"/>
        <v>8.585103090256412</v>
      </c>
      <c r="Q24" s="33"/>
      <c r="R24" s="355"/>
    </row>
    <row r="25" spans="1:18" ht="9.75">
      <c r="A25" s="277"/>
      <c r="B25" s="33" t="s">
        <v>2</v>
      </c>
      <c r="C25" s="242" t="s">
        <v>259</v>
      </c>
      <c r="D25" s="242"/>
      <c r="E25" s="242"/>
      <c r="F25" s="323"/>
      <c r="G25" s="174"/>
      <c r="H25" s="330"/>
      <c r="I25" s="174">
        <f>Materials!D11</f>
        <v>0.83</v>
      </c>
      <c r="J25" s="357" t="str">
        <f>Materials!C11</f>
        <v>lbs</v>
      </c>
      <c r="K25" s="176">
        <f>Materials!B11</f>
        <v>1</v>
      </c>
      <c r="L25" s="330">
        <f>+K25*I25</f>
        <v>0.83</v>
      </c>
      <c r="M25" s="177"/>
      <c r="N25" s="179"/>
      <c r="O25" s="342"/>
      <c r="P25" s="347">
        <f t="shared" si="1"/>
        <v>0.83</v>
      </c>
      <c r="Q25" s="33"/>
      <c r="R25" s="355"/>
    </row>
    <row r="26" spans="1:18" ht="9.75">
      <c r="A26" s="277"/>
      <c r="B26" s="33" t="s">
        <v>260</v>
      </c>
      <c r="C26" s="242"/>
      <c r="D26" s="242"/>
      <c r="E26" s="246" t="s">
        <v>265</v>
      </c>
      <c r="F26" s="463">
        <v>4</v>
      </c>
      <c r="G26" s="247">
        <f>Machinery!U4</f>
        <v>13.365534248000001</v>
      </c>
      <c r="H26" s="333">
        <f>F26*G26</f>
        <v>53.462136992000005</v>
      </c>
      <c r="I26" s="278"/>
      <c r="J26" s="175"/>
      <c r="K26" s="248"/>
      <c r="L26" s="333"/>
      <c r="M26" s="177">
        <f>+$F26*1.2</f>
        <v>4.8</v>
      </c>
      <c r="N26" s="179">
        <f>Labor!I107</f>
        <v>8.474923076923078</v>
      </c>
      <c r="O26" s="333">
        <f>M26*N26</f>
        <v>40.679630769230776</v>
      </c>
      <c r="P26" s="347">
        <f t="shared" si="1"/>
        <v>94.14176776123078</v>
      </c>
      <c r="Q26" s="33"/>
      <c r="R26" s="355"/>
    </row>
    <row r="27" spans="1:18" ht="9.75">
      <c r="A27" s="277"/>
      <c r="B27" s="33" t="s">
        <v>264</v>
      </c>
      <c r="C27" s="242"/>
      <c r="D27" s="242"/>
      <c r="E27" s="242" t="s">
        <v>55</v>
      </c>
      <c r="F27" s="465"/>
      <c r="G27" s="247"/>
      <c r="H27" s="333"/>
      <c r="I27" s="174">
        <f>Materials!D34</f>
        <v>100</v>
      </c>
      <c r="J27" s="361">
        <f>Materials!C34</f>
        <v>1000</v>
      </c>
      <c r="K27" s="176">
        <f>Materials!B34</f>
        <v>0.11</v>
      </c>
      <c r="L27" s="333">
        <f>I27*K27</f>
        <v>11</v>
      </c>
      <c r="M27" s="464">
        <v>1</v>
      </c>
      <c r="N27" s="179">
        <f>Labor!I107</f>
        <v>8.474923076923078</v>
      </c>
      <c r="O27" s="342">
        <f>+$N27*$M27</f>
        <v>8.474923076923078</v>
      </c>
      <c r="P27" s="347">
        <f t="shared" si="1"/>
        <v>19.474923076923076</v>
      </c>
      <c r="Q27" s="33"/>
      <c r="R27" s="355"/>
    </row>
    <row r="28" spans="1:18" ht="9.75">
      <c r="A28" s="277"/>
      <c r="B28" s="244" t="s">
        <v>261</v>
      </c>
      <c r="C28" s="244"/>
      <c r="D28" s="245"/>
      <c r="E28" s="246" t="s">
        <v>285</v>
      </c>
      <c r="F28" s="463">
        <v>62</v>
      </c>
      <c r="G28" s="247">
        <f>Machinery!U17+Machinery!U19</f>
        <v>9.367526693333334</v>
      </c>
      <c r="H28" s="333">
        <f>F28*G28</f>
        <v>580.7866549866667</v>
      </c>
      <c r="I28" s="174"/>
      <c r="J28" s="175"/>
      <c r="K28" s="176"/>
      <c r="L28" s="330"/>
      <c r="M28" s="248">
        <f>F28</f>
        <v>62</v>
      </c>
      <c r="N28" s="179">
        <f>Labor!I107</f>
        <v>8.474923076923078</v>
      </c>
      <c r="O28" s="342">
        <f>+$N28*$M28</f>
        <v>525.4452307692309</v>
      </c>
      <c r="P28" s="347">
        <f t="shared" si="1"/>
        <v>1106.2318857558976</v>
      </c>
      <c r="Q28" s="33"/>
      <c r="R28" s="355"/>
    </row>
    <row r="29" spans="1:18" ht="9.75">
      <c r="A29" s="277"/>
      <c r="B29" s="244"/>
      <c r="C29" s="244" t="s">
        <v>267</v>
      </c>
      <c r="D29" s="245"/>
      <c r="E29" s="246"/>
      <c r="F29" s="324"/>
      <c r="G29" s="247"/>
      <c r="H29" s="333"/>
      <c r="I29" s="174">
        <f>Materials!D12</f>
        <v>0.25</v>
      </c>
      <c r="J29" s="358" t="str">
        <f>Materials!C12</f>
        <v>lbs</v>
      </c>
      <c r="K29" s="176">
        <f>Materials!B12</f>
        <v>336.96</v>
      </c>
      <c r="L29" s="330">
        <f>+K29*I29</f>
        <v>84.24</v>
      </c>
      <c r="M29" s="248"/>
      <c r="N29" s="179"/>
      <c r="O29" s="333"/>
      <c r="P29" s="347">
        <f t="shared" si="1"/>
        <v>84.24</v>
      </c>
      <c r="Q29" s="33"/>
      <c r="R29" s="355"/>
    </row>
    <row r="30" spans="1:18" ht="9.75">
      <c r="A30" s="277"/>
      <c r="B30" s="244"/>
      <c r="C30" s="244" t="s">
        <v>266</v>
      </c>
      <c r="D30" s="245"/>
      <c r="E30" s="246"/>
      <c r="F30" s="324"/>
      <c r="G30" s="247"/>
      <c r="H30" s="333"/>
      <c r="I30" s="174">
        <f>Materials!D13</f>
        <v>0.75</v>
      </c>
      <c r="J30" s="358" t="str">
        <f>Materials!C13</f>
        <v>lbs</v>
      </c>
      <c r="K30" s="176">
        <f>Materials!B13</f>
        <v>168.48</v>
      </c>
      <c r="L30" s="330">
        <f>+K30*I30</f>
        <v>126.35999999999999</v>
      </c>
      <c r="M30" s="248"/>
      <c r="N30" s="179"/>
      <c r="O30" s="333"/>
      <c r="P30" s="347">
        <f t="shared" si="1"/>
        <v>126.35999999999999</v>
      </c>
      <c r="Q30" s="33"/>
      <c r="R30" s="355"/>
    </row>
    <row r="31" spans="1:18" ht="9.75">
      <c r="A31" s="277"/>
      <c r="B31" s="244" t="s">
        <v>270</v>
      </c>
      <c r="C31" s="244"/>
      <c r="D31" s="245"/>
      <c r="E31" s="246"/>
      <c r="F31" s="324"/>
      <c r="G31" s="247"/>
      <c r="H31" s="333"/>
      <c r="I31" s="174">
        <f>Materials!D38</f>
        <v>0.2</v>
      </c>
      <c r="J31" s="357" t="str">
        <f>Materials!C38</f>
        <v>each</v>
      </c>
      <c r="K31" s="176">
        <f>Materials!B38</f>
        <v>2750</v>
      </c>
      <c r="L31" s="330">
        <f>+K31*I31</f>
        <v>550</v>
      </c>
      <c r="M31" s="462">
        <v>87</v>
      </c>
      <c r="N31" s="179" t="s">
        <v>291</v>
      </c>
      <c r="O31" s="333">
        <v>52.5</v>
      </c>
      <c r="P31" s="347">
        <f t="shared" si="1"/>
        <v>602.5</v>
      </c>
      <c r="Q31" s="33"/>
      <c r="R31" s="355"/>
    </row>
    <row r="32" spans="1:18" ht="9.75">
      <c r="A32" s="277"/>
      <c r="B32" s="244" t="s">
        <v>268</v>
      </c>
      <c r="C32" s="244"/>
      <c r="D32" s="245"/>
      <c r="E32" s="246" t="s">
        <v>55</v>
      </c>
      <c r="F32" s="324"/>
      <c r="G32" s="247"/>
      <c r="H32" s="333"/>
      <c r="I32" s="174">
        <f>Materials!D37</f>
        <v>3.3</v>
      </c>
      <c r="J32" s="358" t="str">
        <f>Materials!C37</f>
        <v>box</v>
      </c>
      <c r="K32" s="176">
        <f>Materials!B37</f>
        <v>3</v>
      </c>
      <c r="L32" s="330">
        <f>+K32*I32</f>
        <v>9.899999999999999</v>
      </c>
      <c r="M32" s="462">
        <v>87</v>
      </c>
      <c r="N32" s="179" t="s">
        <v>289</v>
      </c>
      <c r="O32" s="333">
        <v>34.8</v>
      </c>
      <c r="P32" s="347">
        <f t="shared" si="1"/>
        <v>44.699999999999996</v>
      </c>
      <c r="Q32" s="33"/>
      <c r="R32" s="355"/>
    </row>
    <row r="33" spans="1:18" ht="9.75">
      <c r="A33" s="277"/>
      <c r="B33" s="244" t="s">
        <v>269</v>
      </c>
      <c r="C33" s="244"/>
      <c r="D33" s="245"/>
      <c r="E33" s="246" t="s">
        <v>55</v>
      </c>
      <c r="F33" s="324"/>
      <c r="G33" s="247"/>
      <c r="H33" s="333"/>
      <c r="I33" s="174"/>
      <c r="J33" s="175"/>
      <c r="K33" s="176"/>
      <c r="L33" s="330"/>
      <c r="M33" s="462">
        <v>87</v>
      </c>
      <c r="N33" s="179" t="s">
        <v>290</v>
      </c>
      <c r="O33" s="333">
        <v>47.85</v>
      </c>
      <c r="P33" s="347">
        <f t="shared" si="1"/>
        <v>47.85</v>
      </c>
      <c r="Q33" s="33"/>
      <c r="R33" s="355"/>
    </row>
    <row r="34" spans="1:18" ht="9.75">
      <c r="A34" s="277"/>
      <c r="B34" s="244" t="s">
        <v>271</v>
      </c>
      <c r="C34" s="244"/>
      <c r="D34" s="245"/>
      <c r="E34" s="246" t="s">
        <v>292</v>
      </c>
      <c r="F34" s="463">
        <v>2.2</v>
      </c>
      <c r="G34" s="247">
        <f>Machinery!U4+Machinery!U6</f>
        <v>17.657110248000002</v>
      </c>
      <c r="H34" s="333">
        <f>F34*G34</f>
        <v>38.84564254560001</v>
      </c>
      <c r="I34" s="174"/>
      <c r="J34" s="175"/>
      <c r="K34" s="176"/>
      <c r="L34" s="330"/>
      <c r="M34" s="177">
        <f>+$F34*1.2</f>
        <v>2.64</v>
      </c>
      <c r="N34" s="179">
        <f>Labor!I107</f>
        <v>8.474923076923078</v>
      </c>
      <c r="O34" s="342">
        <f>+$N34*$M34</f>
        <v>22.373796923076927</v>
      </c>
      <c r="P34" s="347">
        <f t="shared" si="1"/>
        <v>61.21943946867694</v>
      </c>
      <c r="Q34" s="33"/>
      <c r="R34" s="355"/>
    </row>
    <row r="35" spans="1:18" ht="9.75">
      <c r="A35" s="277"/>
      <c r="B35" s="244"/>
      <c r="C35" s="244" t="s">
        <v>272</v>
      </c>
      <c r="D35" s="245"/>
      <c r="E35" s="246"/>
      <c r="F35" s="324"/>
      <c r="G35" s="247"/>
      <c r="H35" s="333"/>
      <c r="I35" s="174">
        <f>Materials!D22</f>
        <v>5.85</v>
      </c>
      <c r="J35" s="358" t="str">
        <f>Materials!C22</f>
        <v>pt</v>
      </c>
      <c r="K35" s="176">
        <f>Materials!B22</f>
        <v>0.75</v>
      </c>
      <c r="L35" s="330">
        <f aca="true" t="shared" si="2" ref="L35:L42">+K35*I35</f>
        <v>4.387499999999999</v>
      </c>
      <c r="M35" s="248"/>
      <c r="N35" s="179"/>
      <c r="O35" s="333"/>
      <c r="P35" s="347">
        <f t="shared" si="1"/>
        <v>4.387499999999999</v>
      </c>
      <c r="Q35" s="33"/>
      <c r="R35" s="355"/>
    </row>
    <row r="36" spans="1:18" ht="9.75">
      <c r="A36" s="277"/>
      <c r="B36" s="244"/>
      <c r="C36" s="244" t="s">
        <v>273</v>
      </c>
      <c r="D36" s="245"/>
      <c r="E36" s="246"/>
      <c r="F36" s="324"/>
      <c r="G36" s="247"/>
      <c r="H36" s="333"/>
      <c r="I36" s="174">
        <f>Materials!D21</f>
        <v>5.25</v>
      </c>
      <c r="J36" s="358" t="str">
        <f>Materials!C21</f>
        <v>oz</v>
      </c>
      <c r="K36" s="176">
        <f>Materials!B21</f>
        <v>6</v>
      </c>
      <c r="L36" s="330">
        <f t="shared" si="2"/>
        <v>31.5</v>
      </c>
      <c r="M36" s="248"/>
      <c r="N36" s="179"/>
      <c r="O36" s="333"/>
      <c r="P36" s="347">
        <f t="shared" si="1"/>
        <v>31.5</v>
      </c>
      <c r="Q36" s="33"/>
      <c r="R36" s="355"/>
    </row>
    <row r="37" spans="1:18" ht="9.75">
      <c r="A37" s="277"/>
      <c r="B37" s="244"/>
      <c r="C37" s="244" t="s">
        <v>274</v>
      </c>
      <c r="D37" s="245"/>
      <c r="E37" s="246"/>
      <c r="F37" s="324"/>
      <c r="G37" s="247"/>
      <c r="H37" s="333"/>
      <c r="I37" s="174">
        <f>Materials!D23</f>
        <v>0.71</v>
      </c>
      <c r="J37" s="358" t="str">
        <f>Materials!C23</f>
        <v>oz</v>
      </c>
      <c r="K37" s="176">
        <f>Materials!B23*3</f>
        <v>18</v>
      </c>
      <c r="L37" s="330">
        <f t="shared" si="2"/>
        <v>12.78</v>
      </c>
      <c r="M37" s="248"/>
      <c r="N37" s="179"/>
      <c r="O37" s="333"/>
      <c r="P37" s="347">
        <f t="shared" si="1"/>
        <v>12.78</v>
      </c>
      <c r="Q37" s="33"/>
      <c r="R37" s="355"/>
    </row>
    <row r="38" spans="1:18" ht="9.75">
      <c r="A38" s="277"/>
      <c r="B38" s="244"/>
      <c r="C38" s="244" t="s">
        <v>275</v>
      </c>
      <c r="D38" s="245"/>
      <c r="E38" s="246"/>
      <c r="F38" s="324"/>
      <c r="G38" s="247"/>
      <c r="H38" s="333"/>
      <c r="I38" s="174">
        <f>Materials!D26</f>
        <v>2.71</v>
      </c>
      <c r="J38" s="358" t="str">
        <f>Materials!C26</f>
        <v>oz</v>
      </c>
      <c r="K38" s="176">
        <f>Materials!B26</f>
        <v>6</v>
      </c>
      <c r="L38" s="330">
        <f t="shared" si="2"/>
        <v>16.259999999999998</v>
      </c>
      <c r="M38" s="248"/>
      <c r="N38" s="179"/>
      <c r="O38" s="333"/>
      <c r="P38" s="347">
        <f t="shared" si="1"/>
        <v>16.259999999999998</v>
      </c>
      <c r="Q38" s="33"/>
      <c r="R38" s="355"/>
    </row>
    <row r="39" spans="1:18" ht="9.75">
      <c r="A39" s="277"/>
      <c r="B39" s="244"/>
      <c r="C39" s="244" t="s">
        <v>276</v>
      </c>
      <c r="D39" s="245"/>
      <c r="E39" s="246"/>
      <c r="F39" s="324"/>
      <c r="G39" s="247"/>
      <c r="H39" s="333"/>
      <c r="I39" s="174">
        <f>Materials!D27</f>
        <v>8.17</v>
      </c>
      <c r="J39" s="358" t="str">
        <f>Materials!C27</f>
        <v>lbs</v>
      </c>
      <c r="K39" s="176">
        <f>Materials!B27</f>
        <v>1.5</v>
      </c>
      <c r="L39" s="330">
        <f t="shared" si="2"/>
        <v>12.254999999999999</v>
      </c>
      <c r="M39" s="248"/>
      <c r="N39" s="179"/>
      <c r="O39" s="333"/>
      <c r="P39" s="347">
        <f t="shared" si="1"/>
        <v>12.254999999999999</v>
      </c>
      <c r="Q39" s="33"/>
      <c r="R39" s="355"/>
    </row>
    <row r="40" spans="1:18" ht="9.75">
      <c r="A40" s="277"/>
      <c r="B40" s="244"/>
      <c r="C40" s="244" t="s">
        <v>277</v>
      </c>
      <c r="D40" s="245"/>
      <c r="E40" s="246"/>
      <c r="F40" s="324"/>
      <c r="G40" s="247"/>
      <c r="H40" s="333"/>
      <c r="I40" s="174">
        <f>Materials!D28</f>
        <v>7</v>
      </c>
      <c r="J40" s="358" t="str">
        <f>Materials!C28</f>
        <v>lbs</v>
      </c>
      <c r="K40" s="176">
        <f>Materials!B28*3</f>
        <v>6</v>
      </c>
      <c r="L40" s="330">
        <f t="shared" si="2"/>
        <v>42</v>
      </c>
      <c r="M40" s="248"/>
      <c r="N40" s="179"/>
      <c r="O40" s="333"/>
      <c r="P40" s="347">
        <f t="shared" si="1"/>
        <v>42</v>
      </c>
      <c r="Q40" s="33"/>
      <c r="R40" s="355"/>
    </row>
    <row r="41" spans="1:18" ht="9.75">
      <c r="A41" s="277"/>
      <c r="B41" s="244"/>
      <c r="C41" s="244" t="s">
        <v>278</v>
      </c>
      <c r="D41" s="245"/>
      <c r="E41" s="246"/>
      <c r="F41" s="324"/>
      <c r="G41" s="247"/>
      <c r="H41" s="333"/>
      <c r="I41" s="174">
        <f>Materials!D29</f>
        <v>50</v>
      </c>
      <c r="J41" s="358" t="str">
        <f>Materials!C29</f>
        <v>oz</v>
      </c>
      <c r="K41" s="176">
        <f>Materials!B29*2</f>
        <v>2</v>
      </c>
      <c r="L41" s="330">
        <f t="shared" si="2"/>
        <v>100</v>
      </c>
      <c r="M41" s="248"/>
      <c r="N41" s="179"/>
      <c r="O41" s="333"/>
      <c r="P41" s="347">
        <f t="shared" si="1"/>
        <v>100</v>
      </c>
      <c r="Q41" s="33"/>
      <c r="R41" s="355"/>
    </row>
    <row r="42" spans="1:18" ht="9.75">
      <c r="A42" s="277"/>
      <c r="B42" s="244"/>
      <c r="C42" s="244" t="s">
        <v>279</v>
      </c>
      <c r="D42" s="245"/>
      <c r="E42" s="246"/>
      <c r="F42" s="324"/>
      <c r="G42" s="247"/>
      <c r="H42" s="333"/>
      <c r="I42" s="174">
        <f>Materials!D30</f>
        <v>5.25</v>
      </c>
      <c r="J42" s="358" t="str">
        <f>Materials!C30</f>
        <v>lbs</v>
      </c>
      <c r="K42" s="176">
        <f>Materials!B30*3</f>
        <v>9</v>
      </c>
      <c r="L42" s="330">
        <f t="shared" si="2"/>
        <v>47.25</v>
      </c>
      <c r="M42" s="248"/>
      <c r="N42" s="179"/>
      <c r="O42" s="333"/>
      <c r="P42" s="347">
        <f t="shared" si="1"/>
        <v>47.25</v>
      </c>
      <c r="Q42" s="33"/>
      <c r="R42" s="355"/>
    </row>
    <row r="43" spans="1:18" ht="9.75">
      <c r="A43" s="277"/>
      <c r="B43" s="244" t="s">
        <v>280</v>
      </c>
      <c r="C43" s="244"/>
      <c r="D43" s="245"/>
      <c r="E43" s="246" t="s">
        <v>299</v>
      </c>
      <c r="F43" s="324">
        <v>0.55</v>
      </c>
      <c r="G43" s="247">
        <f>Machinery!U4+Machinery!U5</f>
        <v>14.084135823</v>
      </c>
      <c r="H43" s="333">
        <f>F43*G43</f>
        <v>7.746274702650001</v>
      </c>
      <c r="I43" s="174"/>
      <c r="J43" s="175"/>
      <c r="K43" s="176"/>
      <c r="L43" s="330"/>
      <c r="M43" s="177">
        <f>+$F43*1.2</f>
        <v>0.66</v>
      </c>
      <c r="N43" s="179">
        <f>Labor!I107</f>
        <v>8.474923076923078</v>
      </c>
      <c r="O43" s="333">
        <f>M43*N43</f>
        <v>5.593449230769232</v>
      </c>
      <c r="P43" s="347">
        <f t="shared" si="1"/>
        <v>13.339723933419233</v>
      </c>
      <c r="Q43" s="33"/>
      <c r="R43" s="355"/>
    </row>
    <row r="44" spans="1:18" ht="9.75">
      <c r="A44" s="277"/>
      <c r="B44" s="244" t="s">
        <v>2</v>
      </c>
      <c r="C44" s="244" t="s">
        <v>281</v>
      </c>
      <c r="D44" s="245"/>
      <c r="E44" s="246"/>
      <c r="F44" s="325"/>
      <c r="G44" s="247"/>
      <c r="H44" s="333"/>
      <c r="I44" s="174">
        <f>Materials!D16</f>
        <v>5.25</v>
      </c>
      <c r="J44" s="358" t="str">
        <f>Materials!C16</f>
        <v>pt</v>
      </c>
      <c r="K44" s="176">
        <f>Materials!B16</f>
        <v>1.5</v>
      </c>
      <c r="L44" s="330">
        <f>+K44*I44</f>
        <v>7.875</v>
      </c>
      <c r="M44" s="248"/>
      <c r="N44" s="179"/>
      <c r="O44" s="333"/>
      <c r="P44" s="347">
        <f t="shared" si="1"/>
        <v>7.875</v>
      </c>
      <c r="Q44" s="33"/>
      <c r="R44" s="355"/>
    </row>
    <row r="45" spans="1:18" ht="9.75">
      <c r="A45" s="277"/>
      <c r="B45" s="244" t="s">
        <v>2</v>
      </c>
      <c r="C45" s="244" t="s">
        <v>282</v>
      </c>
      <c r="D45" s="245"/>
      <c r="E45" s="246"/>
      <c r="F45" s="325"/>
      <c r="G45" s="247"/>
      <c r="H45" s="333"/>
      <c r="I45" s="174">
        <f>Materials!D17</f>
        <v>11.8</v>
      </c>
      <c r="J45" s="358" t="str">
        <f>Materials!C17</f>
        <v>lbs</v>
      </c>
      <c r="K45" s="176">
        <f>Materials!B17</f>
        <v>0.5</v>
      </c>
      <c r="L45" s="330">
        <f>+K45*I45</f>
        <v>5.9</v>
      </c>
      <c r="M45" s="248"/>
      <c r="N45" s="179"/>
      <c r="O45" s="333"/>
      <c r="P45" s="347">
        <f t="shared" si="1"/>
        <v>5.9</v>
      </c>
      <c r="Q45" s="33"/>
      <c r="R45" s="355"/>
    </row>
    <row r="46" spans="1:18" ht="9.75">
      <c r="A46" s="277" t="s">
        <v>19</v>
      </c>
      <c r="B46" s="277"/>
      <c r="C46" s="277"/>
      <c r="D46" s="277"/>
      <c r="E46" s="294"/>
      <c r="F46" s="321">
        <f>SUM(F$23:F$45)</f>
        <v>69.25</v>
      </c>
      <c r="G46" s="296"/>
      <c r="H46" s="331">
        <f>SUM(H$23:H$45)</f>
        <v>680.95088924025</v>
      </c>
      <c r="I46" s="296"/>
      <c r="J46" s="295"/>
      <c r="K46" s="295"/>
      <c r="L46" s="331">
        <f>SUM(L$23:L$45)</f>
        <v>1612.5375000000004</v>
      </c>
      <c r="M46" s="295">
        <f>SUM(M$23:M$45)</f>
        <v>334.1</v>
      </c>
      <c r="N46" s="296"/>
      <c r="O46" s="331">
        <f>SUM(O$23:O$45)</f>
        <v>754.6668769230771</v>
      </c>
      <c r="P46" s="331">
        <f>SUM(P$23:P$45)</f>
        <v>3048.1552661633273</v>
      </c>
      <c r="Q46" s="296">
        <f>Q21+P46</f>
        <v>4884.609095088512</v>
      </c>
      <c r="R46" s="355"/>
    </row>
    <row r="47" spans="1:18" ht="9.75">
      <c r="A47" s="287" t="s">
        <v>56</v>
      </c>
      <c r="B47" s="288"/>
      <c r="C47" s="288"/>
      <c r="D47" s="288"/>
      <c r="E47" s="300"/>
      <c r="F47" s="322"/>
      <c r="G47" s="302"/>
      <c r="H47" s="332"/>
      <c r="I47" s="302"/>
      <c r="J47" s="303"/>
      <c r="K47" s="300"/>
      <c r="L47" s="332"/>
      <c r="M47" s="304"/>
      <c r="N47" s="305"/>
      <c r="O47" s="341"/>
      <c r="P47" s="341"/>
      <c r="Q47" s="304" t="s">
        <v>56</v>
      </c>
      <c r="R47" s="355"/>
    </row>
    <row r="48" spans="1:18" ht="9.75">
      <c r="A48" s="277"/>
      <c r="B48" s="244" t="s">
        <v>261</v>
      </c>
      <c r="C48" s="244"/>
      <c r="D48" s="245"/>
      <c r="E48" s="246" t="s">
        <v>285</v>
      </c>
      <c r="F48" s="463">
        <v>60</v>
      </c>
      <c r="G48" s="247">
        <f>Machinery!U17+Machinery!U19</f>
        <v>9.367526693333334</v>
      </c>
      <c r="H48" s="333">
        <f>F48*G48</f>
        <v>562.0516016</v>
      </c>
      <c r="I48" s="174"/>
      <c r="J48" s="175"/>
      <c r="K48" s="248"/>
      <c r="L48" s="330"/>
      <c r="M48" s="248">
        <f>F48</f>
        <v>60</v>
      </c>
      <c r="N48" s="179">
        <f>Labor!I107</f>
        <v>8.474923076923078</v>
      </c>
      <c r="O48" s="342">
        <f>+$N48*$M48</f>
        <v>508.4953846153847</v>
      </c>
      <c r="P48" s="347">
        <f aca="true" t="shared" si="3" ref="P48:P61">$O48+$L48+$H48</f>
        <v>1070.5469862153848</v>
      </c>
      <c r="Q48" s="33"/>
      <c r="R48" s="355"/>
    </row>
    <row r="49" spans="1:18" ht="9.75">
      <c r="A49" s="277"/>
      <c r="B49" s="244"/>
      <c r="C49" s="244" t="s">
        <v>267</v>
      </c>
      <c r="D49" s="245"/>
      <c r="E49" s="246"/>
      <c r="F49" s="324"/>
      <c r="G49" s="247"/>
      <c r="H49" s="333"/>
      <c r="I49" s="174">
        <f>Materials!D12</f>
        <v>0.25</v>
      </c>
      <c r="J49" s="358" t="str">
        <f>Materials!C12</f>
        <v>lbs</v>
      </c>
      <c r="K49" s="362">
        <f>Materials!B12</f>
        <v>336.96</v>
      </c>
      <c r="L49" s="330">
        <f>+K49*I49</f>
        <v>84.24</v>
      </c>
      <c r="M49" s="248"/>
      <c r="N49" s="179"/>
      <c r="O49" s="333"/>
      <c r="P49" s="347">
        <f t="shared" si="3"/>
        <v>84.24</v>
      </c>
      <c r="Q49" s="33"/>
      <c r="R49" s="355"/>
    </row>
    <row r="50" spans="1:18" ht="9.75">
      <c r="A50" s="277"/>
      <c r="B50" s="244"/>
      <c r="C50" s="244" t="s">
        <v>266</v>
      </c>
      <c r="D50" s="245"/>
      <c r="E50" s="246"/>
      <c r="F50" s="324"/>
      <c r="G50" s="247"/>
      <c r="H50" s="333"/>
      <c r="I50" s="174">
        <f>Materials!D13</f>
        <v>0.75</v>
      </c>
      <c r="J50" s="358" t="str">
        <f>Materials!C13</f>
        <v>lbs</v>
      </c>
      <c r="K50" s="362">
        <f>Materials!B13</f>
        <v>168.48</v>
      </c>
      <c r="L50" s="330">
        <f>+K50*I50</f>
        <v>126.35999999999999</v>
      </c>
      <c r="M50" s="248"/>
      <c r="N50" s="179"/>
      <c r="O50" s="333"/>
      <c r="P50" s="347">
        <f t="shared" si="3"/>
        <v>126.35999999999999</v>
      </c>
      <c r="Q50" s="33"/>
      <c r="R50" s="355"/>
    </row>
    <row r="51" spans="1:18" ht="9.75">
      <c r="A51" s="277"/>
      <c r="B51" s="244" t="s">
        <v>271</v>
      </c>
      <c r="C51" s="244"/>
      <c r="D51" s="245"/>
      <c r="E51" s="246" t="s">
        <v>292</v>
      </c>
      <c r="F51" s="463">
        <v>2.2</v>
      </c>
      <c r="G51" s="247">
        <f>Machinery!U4+Machinery!U6</f>
        <v>17.657110248000002</v>
      </c>
      <c r="H51" s="333">
        <f>F51*G51</f>
        <v>38.84564254560001</v>
      </c>
      <c r="I51" s="174"/>
      <c r="J51" s="358" t="s">
        <v>2</v>
      </c>
      <c r="K51" s="362"/>
      <c r="L51" s="330"/>
      <c r="M51" s="177">
        <f>+$F51*1.2</f>
        <v>2.64</v>
      </c>
      <c r="N51" s="179">
        <f>Labor!I107</f>
        <v>8.474923076923078</v>
      </c>
      <c r="O51" s="342">
        <f>+$N51*$M51</f>
        <v>22.373796923076927</v>
      </c>
      <c r="P51" s="347">
        <f t="shared" si="3"/>
        <v>61.21943946867694</v>
      </c>
      <c r="Q51" s="33"/>
      <c r="R51" s="355"/>
    </row>
    <row r="52" spans="1:18" ht="9.75">
      <c r="A52" s="277"/>
      <c r="B52" s="244"/>
      <c r="C52" s="244" t="s">
        <v>273</v>
      </c>
      <c r="D52" s="245"/>
      <c r="E52" s="246"/>
      <c r="F52" s="324"/>
      <c r="G52" s="247"/>
      <c r="H52" s="333"/>
      <c r="I52" s="174">
        <f>Materials!D21</f>
        <v>5.25</v>
      </c>
      <c r="J52" s="358" t="str">
        <f>Materials!C21</f>
        <v>oz</v>
      </c>
      <c r="K52" s="362">
        <f>Materials!B21</f>
        <v>6</v>
      </c>
      <c r="L52" s="330">
        <f aca="true" t="shared" si="4" ref="L52:L58">+K52*I52</f>
        <v>31.5</v>
      </c>
      <c r="M52" s="248"/>
      <c r="N52" s="179"/>
      <c r="O52" s="333"/>
      <c r="P52" s="347">
        <f t="shared" si="3"/>
        <v>31.5</v>
      </c>
      <c r="Q52" s="33"/>
      <c r="R52" s="355"/>
    </row>
    <row r="53" spans="1:18" ht="9.75">
      <c r="A53" s="277"/>
      <c r="B53" s="244"/>
      <c r="C53" s="244" t="s">
        <v>274</v>
      </c>
      <c r="D53" s="245"/>
      <c r="E53" s="246"/>
      <c r="F53" s="324"/>
      <c r="G53" s="247"/>
      <c r="H53" s="333"/>
      <c r="I53" s="174">
        <f>Materials!D23</f>
        <v>0.71</v>
      </c>
      <c r="J53" s="358" t="str">
        <f>Materials!C23</f>
        <v>oz</v>
      </c>
      <c r="K53" s="362">
        <f>Materials!B23*3</f>
        <v>18</v>
      </c>
      <c r="L53" s="330">
        <f t="shared" si="4"/>
        <v>12.78</v>
      </c>
      <c r="M53" s="248"/>
      <c r="N53" s="179"/>
      <c r="O53" s="333"/>
      <c r="P53" s="347">
        <f t="shared" si="3"/>
        <v>12.78</v>
      </c>
      <c r="Q53" s="33"/>
      <c r="R53" s="355"/>
    </row>
    <row r="54" spans="1:18" ht="9.75">
      <c r="A54" s="277"/>
      <c r="B54" s="244"/>
      <c r="C54" s="244" t="s">
        <v>275</v>
      </c>
      <c r="D54" s="245"/>
      <c r="E54" s="246"/>
      <c r="F54" s="324"/>
      <c r="G54" s="247"/>
      <c r="H54" s="333"/>
      <c r="I54" s="174">
        <f>Materials!D26</f>
        <v>2.71</v>
      </c>
      <c r="J54" s="358" t="str">
        <f>Materials!C26</f>
        <v>oz</v>
      </c>
      <c r="K54" s="362">
        <f>Materials!B26</f>
        <v>6</v>
      </c>
      <c r="L54" s="330">
        <f t="shared" si="4"/>
        <v>16.259999999999998</v>
      </c>
      <c r="M54" s="248"/>
      <c r="N54" s="179"/>
      <c r="O54" s="333"/>
      <c r="P54" s="347">
        <f t="shared" si="3"/>
        <v>16.259999999999998</v>
      </c>
      <c r="Q54" s="33"/>
      <c r="R54" s="355"/>
    </row>
    <row r="55" spans="1:18" ht="9.75">
      <c r="A55" s="277"/>
      <c r="B55" s="244"/>
      <c r="C55" s="244" t="s">
        <v>300</v>
      </c>
      <c r="D55" s="245"/>
      <c r="E55" s="246"/>
      <c r="F55" s="324"/>
      <c r="G55" s="247"/>
      <c r="H55" s="333"/>
      <c r="I55" s="174">
        <f>Materials!D27</f>
        <v>8.17</v>
      </c>
      <c r="J55" s="358" t="str">
        <f>Materials!C27</f>
        <v>lbs</v>
      </c>
      <c r="K55" s="362">
        <f>Materials!B27*2</f>
        <v>3</v>
      </c>
      <c r="L55" s="330">
        <f t="shared" si="4"/>
        <v>24.509999999999998</v>
      </c>
      <c r="M55" s="248"/>
      <c r="N55" s="179"/>
      <c r="O55" s="333"/>
      <c r="P55" s="347">
        <f t="shared" si="3"/>
        <v>24.509999999999998</v>
      </c>
      <c r="Q55" s="33"/>
      <c r="R55" s="355"/>
    </row>
    <row r="56" spans="1:18" ht="9.75">
      <c r="A56" s="277"/>
      <c r="B56" s="244"/>
      <c r="C56" s="244" t="s">
        <v>295</v>
      </c>
      <c r="D56" s="245"/>
      <c r="E56" s="246"/>
      <c r="F56" s="324"/>
      <c r="G56" s="247"/>
      <c r="H56" s="333"/>
      <c r="I56" s="174">
        <f>Materials!D28</f>
        <v>7</v>
      </c>
      <c r="J56" s="358" t="str">
        <f>Materials!C28</f>
        <v>lbs</v>
      </c>
      <c r="K56" s="362">
        <f>Materials!B28</f>
        <v>2</v>
      </c>
      <c r="L56" s="330">
        <f t="shared" si="4"/>
        <v>14</v>
      </c>
      <c r="M56" s="248"/>
      <c r="N56" s="179"/>
      <c r="O56" s="333"/>
      <c r="P56" s="347">
        <f t="shared" si="3"/>
        <v>14</v>
      </c>
      <c r="Q56" s="33"/>
      <c r="R56" s="355"/>
    </row>
    <row r="57" spans="1:18" ht="9.75">
      <c r="A57" s="277"/>
      <c r="B57" s="244"/>
      <c r="C57" s="244" t="s">
        <v>301</v>
      </c>
      <c r="D57" s="245"/>
      <c r="E57" s="246"/>
      <c r="F57" s="324"/>
      <c r="G57" s="247"/>
      <c r="H57" s="333"/>
      <c r="I57" s="174">
        <f>Materials!D29</f>
        <v>50</v>
      </c>
      <c r="J57" s="358" t="str">
        <f>Materials!C29</f>
        <v>oz</v>
      </c>
      <c r="K57" s="362">
        <f>Materials!B29*3</f>
        <v>3</v>
      </c>
      <c r="L57" s="330">
        <f t="shared" si="4"/>
        <v>150</v>
      </c>
      <c r="M57" s="248"/>
      <c r="N57" s="179"/>
      <c r="O57" s="333"/>
      <c r="P57" s="347">
        <f t="shared" si="3"/>
        <v>150</v>
      </c>
      <c r="Q57" s="33"/>
      <c r="R57" s="355"/>
    </row>
    <row r="58" spans="1:18" ht="9.75">
      <c r="A58" s="277"/>
      <c r="B58" s="244"/>
      <c r="C58" s="244" t="s">
        <v>302</v>
      </c>
      <c r="D58" s="245"/>
      <c r="E58" s="246"/>
      <c r="F58" s="324"/>
      <c r="G58" s="247"/>
      <c r="H58" s="333"/>
      <c r="I58" s="174">
        <f>Materials!D30</f>
        <v>5.25</v>
      </c>
      <c r="J58" s="358" t="str">
        <f>Materials!C30</f>
        <v>lbs</v>
      </c>
      <c r="K58" s="362">
        <f>Materials!B30*4</f>
        <v>12</v>
      </c>
      <c r="L58" s="330">
        <f t="shared" si="4"/>
        <v>63</v>
      </c>
      <c r="M58" s="248"/>
      <c r="N58" s="179"/>
      <c r="O58" s="333"/>
      <c r="P58" s="347">
        <f t="shared" si="3"/>
        <v>63</v>
      </c>
      <c r="Q58" s="33"/>
      <c r="R58" s="355"/>
    </row>
    <row r="59" spans="1:18" ht="9.75">
      <c r="A59" s="277"/>
      <c r="B59" s="244" t="s">
        <v>280</v>
      </c>
      <c r="C59" s="244"/>
      <c r="D59" s="245"/>
      <c r="E59" s="246" t="s">
        <v>299</v>
      </c>
      <c r="F59" s="463">
        <v>0.55</v>
      </c>
      <c r="G59" s="247">
        <f>Machinery!U4+Machinery!U5</f>
        <v>14.084135823</v>
      </c>
      <c r="H59" s="333">
        <f>F59*G59</f>
        <v>7.746274702650001</v>
      </c>
      <c r="I59" s="174"/>
      <c r="J59" s="358" t="s">
        <v>2</v>
      </c>
      <c r="K59" s="362"/>
      <c r="L59" s="330"/>
      <c r="M59" s="177">
        <f>+$F59*1.2</f>
        <v>0.66</v>
      </c>
      <c r="N59" s="179">
        <f>Labor!I107</f>
        <v>8.474923076923078</v>
      </c>
      <c r="O59" s="333">
        <f>M59*N59</f>
        <v>5.593449230769232</v>
      </c>
      <c r="P59" s="347">
        <f t="shared" si="3"/>
        <v>13.339723933419233</v>
      </c>
      <c r="Q59" s="33"/>
      <c r="R59" s="355"/>
    </row>
    <row r="60" spans="1:18" ht="9.75">
      <c r="A60" s="277"/>
      <c r="B60" s="244" t="s">
        <v>2</v>
      </c>
      <c r="C60" s="244" t="s">
        <v>281</v>
      </c>
      <c r="D60" s="245"/>
      <c r="E60" s="246"/>
      <c r="F60" s="325"/>
      <c r="G60" s="247"/>
      <c r="H60" s="333"/>
      <c r="I60" s="174">
        <f>Materials!D16</f>
        <v>5.25</v>
      </c>
      <c r="J60" s="358" t="str">
        <f>Materials!C16</f>
        <v>pt</v>
      </c>
      <c r="K60" s="362">
        <f>Materials!B16</f>
        <v>1.5</v>
      </c>
      <c r="L60" s="330">
        <f>+K60*I60</f>
        <v>7.875</v>
      </c>
      <c r="M60" s="248"/>
      <c r="N60" s="179"/>
      <c r="O60" s="333"/>
      <c r="P60" s="347">
        <f t="shared" si="3"/>
        <v>7.875</v>
      </c>
      <c r="Q60" s="33"/>
      <c r="R60" s="355"/>
    </row>
    <row r="61" spans="1:18" ht="9.75">
      <c r="A61" s="277"/>
      <c r="B61" s="244" t="s">
        <v>2</v>
      </c>
      <c r="C61" s="244" t="s">
        <v>298</v>
      </c>
      <c r="D61" s="245"/>
      <c r="E61" s="246"/>
      <c r="F61" s="325"/>
      <c r="G61" s="247"/>
      <c r="H61" s="333"/>
      <c r="I61" s="174">
        <f>Materials!D18</f>
        <v>9.87</v>
      </c>
      <c r="J61" s="358" t="str">
        <f>Materials!C18</f>
        <v>pt</v>
      </c>
      <c r="K61" s="362">
        <f>Materials!B18</f>
        <v>1</v>
      </c>
      <c r="L61" s="330">
        <f>+K61*I61</f>
        <v>9.87</v>
      </c>
      <c r="M61" s="248"/>
      <c r="N61" s="179"/>
      <c r="O61" s="333"/>
      <c r="P61" s="347">
        <f t="shared" si="3"/>
        <v>9.87</v>
      </c>
      <c r="Q61" s="33"/>
      <c r="R61" s="355"/>
    </row>
    <row r="62" spans="1:18" ht="9.75">
      <c r="A62" s="277" t="s">
        <v>57</v>
      </c>
      <c r="B62" s="277"/>
      <c r="C62" s="277"/>
      <c r="D62" s="277"/>
      <c r="E62" s="294"/>
      <c r="F62" s="321">
        <f>SUM(F$48:F$61)</f>
        <v>62.75</v>
      </c>
      <c r="G62" s="296"/>
      <c r="H62" s="331">
        <f>SUM(H$48:H$61)</f>
        <v>608.64351884825</v>
      </c>
      <c r="I62" s="296"/>
      <c r="J62" s="295"/>
      <c r="K62" s="295"/>
      <c r="L62" s="331">
        <f>SUM(L$48:L$61)</f>
        <v>540.395</v>
      </c>
      <c r="M62" s="295">
        <f>SUM(M$48:M$61)</f>
        <v>63.3</v>
      </c>
      <c r="N62" s="296"/>
      <c r="O62" s="331">
        <f>SUM(O$48:O$61)</f>
        <v>536.4626307692308</v>
      </c>
      <c r="P62" s="331">
        <f>SUM(P$48:P$61)</f>
        <v>1685.5011496174807</v>
      </c>
      <c r="Q62" s="296">
        <f>Q46+P62</f>
        <v>6570.110244705993</v>
      </c>
      <c r="R62" s="355"/>
    </row>
    <row r="63" spans="1:18" ht="9.75">
      <c r="A63" s="287" t="s">
        <v>58</v>
      </c>
      <c r="B63" s="288"/>
      <c r="C63" s="288"/>
      <c r="D63" s="288"/>
      <c r="E63" s="300"/>
      <c r="F63" s="322"/>
      <c r="G63" s="302"/>
      <c r="H63" s="332"/>
      <c r="I63" s="302"/>
      <c r="J63" s="303"/>
      <c r="K63" s="300"/>
      <c r="L63" s="332"/>
      <c r="M63" s="304"/>
      <c r="N63" s="305"/>
      <c r="O63" s="341"/>
      <c r="P63" s="341"/>
      <c r="Q63" s="304" t="s">
        <v>58</v>
      </c>
      <c r="R63" s="355"/>
    </row>
    <row r="64" spans="1:18" ht="9.75">
      <c r="A64" s="277"/>
      <c r="B64" s="244" t="s">
        <v>261</v>
      </c>
      <c r="C64" s="244"/>
      <c r="D64" s="245"/>
      <c r="E64" s="246" t="s">
        <v>285</v>
      </c>
      <c r="F64" s="463">
        <v>62</v>
      </c>
      <c r="G64" s="247">
        <f>Machinery!U17+Machinery!U19</f>
        <v>9.367526693333334</v>
      </c>
      <c r="H64" s="333">
        <f>F64*G64</f>
        <v>580.7866549866667</v>
      </c>
      <c r="I64" s="174"/>
      <c r="J64" s="175"/>
      <c r="K64" s="176"/>
      <c r="L64" s="330"/>
      <c r="M64" s="248">
        <f>F64</f>
        <v>62</v>
      </c>
      <c r="N64" s="179">
        <f>Labor!I107</f>
        <v>8.474923076923078</v>
      </c>
      <c r="O64" s="342">
        <f>+$N64*$M64</f>
        <v>525.4452307692309</v>
      </c>
      <c r="P64" s="347">
        <f aca="true" t="shared" si="5" ref="P64:P74">$O64+$L64+$H64</f>
        <v>1106.2318857558976</v>
      </c>
      <c r="Q64" s="33"/>
      <c r="R64" s="355"/>
    </row>
    <row r="65" spans="1:18" ht="9.75">
      <c r="A65" s="277"/>
      <c r="B65" s="244"/>
      <c r="C65" s="244" t="s">
        <v>267</v>
      </c>
      <c r="D65" s="245"/>
      <c r="E65" s="246"/>
      <c r="F65" s="324"/>
      <c r="G65" s="247"/>
      <c r="H65" s="333"/>
      <c r="I65" s="174">
        <f>Materials!D12</f>
        <v>0.25</v>
      </c>
      <c r="J65" s="358" t="str">
        <f>Materials!C12</f>
        <v>lbs</v>
      </c>
      <c r="K65" s="363">
        <f>Materials!B12</f>
        <v>336.96</v>
      </c>
      <c r="L65" s="330">
        <f>+K65*I65</f>
        <v>84.24</v>
      </c>
      <c r="M65" s="248"/>
      <c r="N65" s="179"/>
      <c r="O65" s="333"/>
      <c r="P65" s="347">
        <f t="shared" si="5"/>
        <v>84.24</v>
      </c>
      <c r="Q65" s="33"/>
      <c r="R65" s="355"/>
    </row>
    <row r="66" spans="1:18" ht="9.75">
      <c r="A66" s="277"/>
      <c r="B66" s="244"/>
      <c r="C66" s="244" t="s">
        <v>266</v>
      </c>
      <c r="D66" s="245"/>
      <c r="E66" s="246"/>
      <c r="F66" s="324"/>
      <c r="G66" s="247"/>
      <c r="H66" s="333"/>
      <c r="I66" s="174">
        <f>Materials!D13</f>
        <v>0.75</v>
      </c>
      <c r="J66" s="358" t="str">
        <f>Materials!C13</f>
        <v>lbs</v>
      </c>
      <c r="K66" s="363">
        <f>Materials!B13</f>
        <v>168.48</v>
      </c>
      <c r="L66" s="330">
        <f>+K66*I66</f>
        <v>126.35999999999999</v>
      </c>
      <c r="M66" s="248"/>
      <c r="N66" s="179"/>
      <c r="O66" s="333"/>
      <c r="P66" s="347">
        <f t="shared" si="5"/>
        <v>126.35999999999999</v>
      </c>
      <c r="Q66" s="33"/>
      <c r="R66" s="355"/>
    </row>
    <row r="67" spans="1:18" ht="9.75">
      <c r="A67" s="277"/>
      <c r="B67" s="244" t="s">
        <v>271</v>
      </c>
      <c r="C67" s="244"/>
      <c r="D67" s="245"/>
      <c r="E67" s="246" t="s">
        <v>292</v>
      </c>
      <c r="F67" s="463">
        <v>2.2</v>
      </c>
      <c r="G67" s="247">
        <f>Machinery!U4+Machinery!U6</f>
        <v>17.657110248000002</v>
      </c>
      <c r="H67" s="333">
        <f>F67*G67</f>
        <v>38.84564254560001</v>
      </c>
      <c r="I67" s="174"/>
      <c r="J67" s="358"/>
      <c r="K67" s="363"/>
      <c r="L67" s="330"/>
      <c r="M67" s="177">
        <f>+$F67*1.2</f>
        <v>2.64</v>
      </c>
      <c r="N67" s="179">
        <f>Labor!I107</f>
        <v>8.474923076923078</v>
      </c>
      <c r="O67" s="342">
        <f>+$N67*$M67</f>
        <v>22.373796923076927</v>
      </c>
      <c r="P67" s="347">
        <f t="shared" si="5"/>
        <v>61.21943946867694</v>
      </c>
      <c r="Q67" s="33"/>
      <c r="R67" s="355"/>
    </row>
    <row r="68" spans="1:18" ht="9.75">
      <c r="A68" s="277"/>
      <c r="B68" s="244"/>
      <c r="C68" s="244" t="s">
        <v>273</v>
      </c>
      <c r="D68" s="245"/>
      <c r="E68" s="246"/>
      <c r="F68" s="324"/>
      <c r="G68" s="247"/>
      <c r="H68" s="333"/>
      <c r="I68" s="174">
        <f>Materials!D21</f>
        <v>5.25</v>
      </c>
      <c r="J68" s="358" t="str">
        <f>Materials!C21</f>
        <v>oz</v>
      </c>
      <c r="K68" s="363">
        <f>Materials!B21</f>
        <v>6</v>
      </c>
      <c r="L68" s="330">
        <f aca="true" t="shared" si="6" ref="L68:L73">+K68*I68</f>
        <v>31.5</v>
      </c>
      <c r="M68" s="248"/>
      <c r="N68" s="179"/>
      <c r="O68" s="333"/>
      <c r="P68" s="347">
        <f t="shared" si="5"/>
        <v>31.5</v>
      </c>
      <c r="Q68" s="33"/>
      <c r="R68" s="355"/>
    </row>
    <row r="69" spans="1:18" ht="9.75">
      <c r="A69" s="277"/>
      <c r="B69" s="244"/>
      <c r="C69" s="244" t="s">
        <v>303</v>
      </c>
      <c r="D69" s="245"/>
      <c r="E69" s="246"/>
      <c r="F69" s="324"/>
      <c r="G69" s="247"/>
      <c r="H69" s="333"/>
      <c r="I69" s="174">
        <f>Materials!D23</f>
        <v>0.71</v>
      </c>
      <c r="J69" s="358" t="str">
        <f>Materials!C23</f>
        <v>oz</v>
      </c>
      <c r="K69" s="363">
        <f>Materials!B23*2</f>
        <v>12</v>
      </c>
      <c r="L69" s="330">
        <f t="shared" si="6"/>
        <v>8.52</v>
      </c>
      <c r="M69" s="248"/>
      <c r="N69" s="179"/>
      <c r="O69" s="333"/>
      <c r="P69" s="347">
        <f t="shared" si="5"/>
        <v>8.52</v>
      </c>
      <c r="Q69" s="33"/>
      <c r="R69" s="355"/>
    </row>
    <row r="70" spans="1:18" ht="9.75">
      <c r="A70" s="277"/>
      <c r="B70" s="244"/>
      <c r="C70" s="244" t="s">
        <v>304</v>
      </c>
      <c r="D70" s="245"/>
      <c r="E70" s="246"/>
      <c r="F70" s="324"/>
      <c r="G70" s="247"/>
      <c r="H70" s="333"/>
      <c r="I70" s="174">
        <f>Materials!D26</f>
        <v>2.71</v>
      </c>
      <c r="J70" s="358" t="str">
        <f>Materials!C26</f>
        <v>oz</v>
      </c>
      <c r="K70" s="363">
        <f>Materials!B26*2</f>
        <v>12</v>
      </c>
      <c r="L70" s="330">
        <f t="shared" si="6"/>
        <v>32.519999999999996</v>
      </c>
      <c r="M70" s="248"/>
      <c r="N70" s="179"/>
      <c r="O70" s="333"/>
      <c r="P70" s="347">
        <f t="shared" si="5"/>
        <v>32.519999999999996</v>
      </c>
      <c r="Q70" s="33"/>
      <c r="R70" s="355"/>
    </row>
    <row r="71" spans="1:18" ht="9.75">
      <c r="A71" s="277"/>
      <c r="B71" s="244"/>
      <c r="C71" s="244" t="s">
        <v>276</v>
      </c>
      <c r="D71" s="245"/>
      <c r="E71" s="246"/>
      <c r="F71" s="324"/>
      <c r="G71" s="247"/>
      <c r="H71" s="333"/>
      <c r="I71" s="174">
        <f>Materials!D27</f>
        <v>8.17</v>
      </c>
      <c r="J71" s="358" t="str">
        <f>Materials!C27</f>
        <v>lbs</v>
      </c>
      <c r="K71" s="363">
        <f>Materials!B27</f>
        <v>1.5</v>
      </c>
      <c r="L71" s="330">
        <f t="shared" si="6"/>
        <v>12.254999999999999</v>
      </c>
      <c r="M71" s="248"/>
      <c r="N71" s="179"/>
      <c r="O71" s="333"/>
      <c r="P71" s="347">
        <f t="shared" si="5"/>
        <v>12.254999999999999</v>
      </c>
      <c r="Q71" s="33"/>
      <c r="R71" s="355"/>
    </row>
    <row r="72" spans="1:18" ht="9.75">
      <c r="A72" s="277"/>
      <c r="B72" s="244"/>
      <c r="C72" s="244" t="s">
        <v>305</v>
      </c>
      <c r="D72" s="245"/>
      <c r="E72" s="246"/>
      <c r="F72" s="324"/>
      <c r="G72" s="247"/>
      <c r="H72" s="333"/>
      <c r="I72" s="174">
        <f>Materials!D29</f>
        <v>50</v>
      </c>
      <c r="J72" s="358" t="str">
        <f>Materials!C29</f>
        <v>oz</v>
      </c>
      <c r="K72" s="363">
        <f>Materials!B29</f>
        <v>1</v>
      </c>
      <c r="L72" s="330">
        <f t="shared" si="6"/>
        <v>50</v>
      </c>
      <c r="M72" s="248"/>
      <c r="N72" s="179"/>
      <c r="O72" s="333"/>
      <c r="P72" s="347">
        <f t="shared" si="5"/>
        <v>50</v>
      </c>
      <c r="Q72" s="33"/>
      <c r="R72" s="355"/>
    </row>
    <row r="73" spans="1:18" ht="9.75">
      <c r="A73" s="277"/>
      <c r="B73" s="244"/>
      <c r="C73" s="244" t="s">
        <v>306</v>
      </c>
      <c r="D73" s="245"/>
      <c r="E73" s="246"/>
      <c r="F73" s="324"/>
      <c r="G73" s="247"/>
      <c r="H73" s="333"/>
      <c r="I73" s="174">
        <f>Materials!D30</f>
        <v>5.25</v>
      </c>
      <c r="J73" s="358" t="str">
        <f>Materials!C30</f>
        <v>lbs</v>
      </c>
      <c r="K73" s="363">
        <f>Materials!B30</f>
        <v>3</v>
      </c>
      <c r="L73" s="330">
        <f t="shared" si="6"/>
        <v>15.75</v>
      </c>
      <c r="M73" s="248"/>
      <c r="N73" s="179"/>
      <c r="O73" s="333"/>
      <c r="P73" s="347">
        <f t="shared" si="5"/>
        <v>15.75</v>
      </c>
      <c r="Q73" s="33"/>
      <c r="R73" s="355"/>
    </row>
    <row r="74" spans="1:18" ht="9.75">
      <c r="A74" s="277"/>
      <c r="B74" s="244" t="s">
        <v>204</v>
      </c>
      <c r="C74" s="244"/>
      <c r="D74" s="245"/>
      <c r="E74" s="246" t="s">
        <v>55</v>
      </c>
      <c r="F74" s="324"/>
      <c r="G74" s="247"/>
      <c r="H74" s="333"/>
      <c r="I74" s="174"/>
      <c r="J74" s="175"/>
      <c r="K74" s="176"/>
      <c r="L74" s="330"/>
      <c r="M74" s="248">
        <f>Assumptions!$G$9</f>
        <v>3092.672</v>
      </c>
      <c r="N74" s="179">
        <f>Assumptions!G35</f>
        <v>3</v>
      </c>
      <c r="O74" s="333">
        <f>M74*3</f>
        <v>9278.016</v>
      </c>
      <c r="P74" s="347">
        <f t="shared" si="5"/>
        <v>9278.016</v>
      </c>
      <c r="Q74" s="33"/>
      <c r="R74" s="355"/>
    </row>
    <row r="75" spans="1:18" ht="9.75">
      <c r="A75" s="277" t="s">
        <v>59</v>
      </c>
      <c r="B75" s="277"/>
      <c r="C75" s="277"/>
      <c r="D75" s="277"/>
      <c r="E75" s="294"/>
      <c r="F75" s="321">
        <f>SUM(F$64:F$74)</f>
        <v>64.2</v>
      </c>
      <c r="G75" s="296"/>
      <c r="H75" s="331">
        <f>SUM(H$64:H$74)</f>
        <v>619.6322975322666</v>
      </c>
      <c r="I75" s="296"/>
      <c r="J75" s="295"/>
      <c r="K75" s="295"/>
      <c r="L75" s="331">
        <f>SUM(L$64:L$74)</f>
        <v>361.145</v>
      </c>
      <c r="M75" s="295">
        <f>SUM(M$64:M$74)</f>
        <v>3157.312</v>
      </c>
      <c r="N75" s="296"/>
      <c r="O75" s="331">
        <f>SUM(O$64:O$74)</f>
        <v>9825.835027692308</v>
      </c>
      <c r="P75" s="331">
        <f>SUM(P$64:P$74)</f>
        <v>10806.612325224574</v>
      </c>
      <c r="Q75" s="296">
        <f>Q62+P75</f>
        <v>17376.722569930567</v>
      </c>
      <c r="R75" s="355"/>
    </row>
    <row r="76" spans="1:18" ht="9.75">
      <c r="A76" s="287" t="s">
        <v>17</v>
      </c>
      <c r="B76" s="288"/>
      <c r="C76" s="288"/>
      <c r="D76" s="288"/>
      <c r="E76" s="291"/>
      <c r="F76" s="322"/>
      <c r="G76" s="302"/>
      <c r="H76" s="332"/>
      <c r="I76" s="302"/>
      <c r="J76" s="303"/>
      <c r="K76" s="300"/>
      <c r="L76" s="332"/>
      <c r="M76" s="304"/>
      <c r="N76" s="305"/>
      <c r="O76" s="341"/>
      <c r="P76" s="341"/>
      <c r="Q76" s="304" t="s">
        <v>17</v>
      </c>
      <c r="R76" s="355"/>
    </row>
    <row r="77" spans="1:18" ht="9.75">
      <c r="A77" s="277"/>
      <c r="B77" s="33" t="s">
        <v>202</v>
      </c>
      <c r="C77" s="33"/>
      <c r="D77" s="33"/>
      <c r="E77" s="11" t="s">
        <v>310</v>
      </c>
      <c r="F77" s="461">
        <v>3</v>
      </c>
      <c r="G77" s="247">
        <f>Machinery!U4+Machinery!U7</f>
        <v>15.54722873688889</v>
      </c>
      <c r="H77" s="333">
        <f>F77*G77</f>
        <v>46.64168621066667</v>
      </c>
      <c r="I77" s="174"/>
      <c r="J77" s="175"/>
      <c r="K77" s="176"/>
      <c r="L77" s="330"/>
      <c r="M77" s="464">
        <v>18</v>
      </c>
      <c r="N77" s="179">
        <f>Labor!I107</f>
        <v>8.474923076923078</v>
      </c>
      <c r="O77" s="342">
        <f>+$N77*$M77</f>
        <v>152.5486153846154</v>
      </c>
      <c r="P77" s="347">
        <f>$O77+$L77+$H77</f>
        <v>199.19030159528208</v>
      </c>
      <c r="Q77" s="33"/>
      <c r="R77" s="355"/>
    </row>
    <row r="78" spans="1:18" ht="9.75">
      <c r="A78" s="277"/>
      <c r="B78" s="33" t="s">
        <v>307</v>
      </c>
      <c r="C78" s="33"/>
      <c r="D78" s="33"/>
      <c r="E78" s="11" t="s">
        <v>311</v>
      </c>
      <c r="F78" s="461">
        <v>1</v>
      </c>
      <c r="G78" s="247">
        <f>Machinery!V21</f>
        <v>16.150000000000002</v>
      </c>
      <c r="H78" s="333">
        <f>F78*G78</f>
        <v>16.150000000000002</v>
      </c>
      <c r="I78" s="174"/>
      <c r="J78" s="175"/>
      <c r="K78" s="176"/>
      <c r="L78" s="330"/>
      <c r="M78" s="177">
        <f>+$F78*1.2</f>
        <v>1.2</v>
      </c>
      <c r="N78" s="179">
        <f>Labor!I107</f>
        <v>8.474923076923078</v>
      </c>
      <c r="O78" s="342">
        <f>+$N78*$M78</f>
        <v>10.169907692307694</v>
      </c>
      <c r="P78" s="347">
        <f>$O78+$L78+$H78</f>
        <v>26.319907692307694</v>
      </c>
      <c r="Q78" s="33"/>
      <c r="R78" s="355"/>
    </row>
    <row r="79" spans="1:18" ht="9.75">
      <c r="A79" s="277"/>
      <c r="B79" s="33" t="s">
        <v>308</v>
      </c>
      <c r="C79" s="33"/>
      <c r="D79" s="33"/>
      <c r="E79" s="11" t="s">
        <v>22</v>
      </c>
      <c r="F79" s="461">
        <v>1</v>
      </c>
      <c r="G79" s="174">
        <f>Machinery!U4+Machinery!U9</f>
        <v>16.050654248</v>
      </c>
      <c r="H79" s="330">
        <f>F79*G79</f>
        <v>16.050654248</v>
      </c>
      <c r="I79" s="174"/>
      <c r="J79" s="175"/>
      <c r="K79" s="176"/>
      <c r="L79" s="330"/>
      <c r="M79" s="177">
        <f>+$F79*1.2</f>
        <v>1.2</v>
      </c>
      <c r="N79" s="179">
        <f>Labor!I107</f>
        <v>8.474923076923078</v>
      </c>
      <c r="O79" s="342">
        <f>+$N79*$M79</f>
        <v>10.169907692307694</v>
      </c>
      <c r="P79" s="347">
        <f>$O79+$L79+$H79</f>
        <v>26.220561940307697</v>
      </c>
      <c r="Q79" s="33"/>
      <c r="R79" s="355"/>
    </row>
    <row r="80" spans="1:18" ht="9.75">
      <c r="A80" s="277"/>
      <c r="B80" s="33" t="s">
        <v>309</v>
      </c>
      <c r="C80" s="33"/>
      <c r="D80" s="33"/>
      <c r="E80" s="11" t="s">
        <v>312</v>
      </c>
      <c r="F80" s="320"/>
      <c r="G80" s="174"/>
      <c r="H80" s="330"/>
      <c r="I80" s="174">
        <f>Materials!D41</f>
        <v>55</v>
      </c>
      <c r="J80" s="358" t="str">
        <f>Materials!C41</f>
        <v>ton</v>
      </c>
      <c r="K80" s="363">
        <f>Materials!B41</f>
        <v>1</v>
      </c>
      <c r="L80" s="330">
        <f>I80*K80</f>
        <v>55</v>
      </c>
      <c r="M80" s="233"/>
      <c r="N80" s="178"/>
      <c r="O80" s="342"/>
      <c r="P80" s="347">
        <f>$O80+$L80+$H80</f>
        <v>55</v>
      </c>
      <c r="Q80" s="33"/>
      <c r="R80" s="355"/>
    </row>
    <row r="81" spans="1:18" ht="9.75">
      <c r="A81" s="277"/>
      <c r="B81" s="33" t="s">
        <v>317</v>
      </c>
      <c r="C81" s="33"/>
      <c r="D81" s="33"/>
      <c r="E81" s="11" t="s">
        <v>316</v>
      </c>
      <c r="F81" s="461">
        <v>1</v>
      </c>
      <c r="G81" s="247">
        <f>Machinery!U4+Machinery!U12</f>
        <v>16.989544748</v>
      </c>
      <c r="H81" s="330">
        <f>F81*G81</f>
        <v>16.989544748</v>
      </c>
      <c r="I81" s="174">
        <f>Materials!D39</f>
        <v>17</v>
      </c>
      <c r="J81" s="358" t="str">
        <f>Materials!C39</f>
        <v>bushel</v>
      </c>
      <c r="K81" s="363">
        <f>Materials!B39</f>
        <v>1</v>
      </c>
      <c r="L81" s="330">
        <f>I81*K81</f>
        <v>17</v>
      </c>
      <c r="M81" s="177">
        <f>+$F81*1.2</f>
        <v>1.2</v>
      </c>
      <c r="N81" s="179">
        <f>Labor!I107</f>
        <v>8.474923076923078</v>
      </c>
      <c r="O81" s="342">
        <f>+$N81*$M81</f>
        <v>10.169907692307694</v>
      </c>
      <c r="P81" s="347">
        <f>$O81+$L81+$H81</f>
        <v>44.159452440307696</v>
      </c>
      <c r="Q81" s="12"/>
      <c r="R81" s="355"/>
    </row>
    <row r="82" spans="1:18" ht="9.75">
      <c r="A82" s="277" t="s">
        <v>23</v>
      </c>
      <c r="B82" s="277"/>
      <c r="C82" s="277"/>
      <c r="D82" s="277"/>
      <c r="E82" s="294"/>
      <c r="F82" s="321">
        <f>SUM(F$77:F$81)</f>
        <v>6</v>
      </c>
      <c r="G82" s="296"/>
      <c r="H82" s="331">
        <f aca="true" t="shared" si="7" ref="H82:P82">SUM(H$77:H$81)</f>
        <v>95.83188520666667</v>
      </c>
      <c r="I82" s="296"/>
      <c r="J82" s="295"/>
      <c r="K82" s="295"/>
      <c r="L82" s="331">
        <f t="shared" si="7"/>
        <v>72</v>
      </c>
      <c r="M82" s="295">
        <f t="shared" si="7"/>
        <v>21.599999999999998</v>
      </c>
      <c r="N82" s="295"/>
      <c r="O82" s="340">
        <f t="shared" si="7"/>
        <v>183.0583384615385</v>
      </c>
      <c r="P82" s="340">
        <f t="shared" si="7"/>
        <v>350.8902236682051</v>
      </c>
      <c r="Q82" s="299">
        <f>Q75+P82</f>
        <v>17727.61279359877</v>
      </c>
      <c r="R82" s="355"/>
    </row>
    <row r="83" spans="1:18" ht="9.75">
      <c r="A83" s="288" t="s">
        <v>34</v>
      </c>
      <c r="B83" s="288"/>
      <c r="C83" s="288"/>
      <c r="D83" s="288"/>
      <c r="E83" s="291"/>
      <c r="F83" s="326"/>
      <c r="G83" s="308"/>
      <c r="H83" s="334"/>
      <c r="I83" s="308"/>
      <c r="J83" s="309"/>
      <c r="K83" s="310"/>
      <c r="L83" s="334"/>
      <c r="M83" s="307"/>
      <c r="N83" s="311"/>
      <c r="O83" s="343"/>
      <c r="P83" s="343"/>
      <c r="Q83" s="305" t="s">
        <v>30</v>
      </c>
      <c r="R83" s="355"/>
    </row>
    <row r="84" spans="1:18" ht="9.75">
      <c r="A84" s="277"/>
      <c r="B84" s="33" t="s">
        <v>24</v>
      </c>
      <c r="C84" s="33"/>
      <c r="D84" s="33"/>
      <c r="E84" s="11" t="s">
        <v>25</v>
      </c>
      <c r="F84" s="320"/>
      <c r="G84" s="174"/>
      <c r="H84" s="330"/>
      <c r="I84" s="174">
        <f>Materials!D47</f>
        <v>16</v>
      </c>
      <c r="J84" s="358" t="str">
        <f>Materials!C47</f>
        <v>acre</v>
      </c>
      <c r="K84" s="363">
        <v>1</v>
      </c>
      <c r="L84" s="330">
        <f aca="true" t="shared" si="8" ref="L84:L89">$I84*K84</f>
        <v>16</v>
      </c>
      <c r="M84" s="177"/>
      <c r="N84" s="178"/>
      <c r="O84" s="342"/>
      <c r="P84" s="347">
        <f aca="true" t="shared" si="9" ref="P84:P89">$L84+$H84+$O84</f>
        <v>16</v>
      </c>
      <c r="Q84" s="33"/>
      <c r="R84" s="355"/>
    </row>
    <row r="85" spans="1:18" ht="9.75">
      <c r="A85" s="277"/>
      <c r="B85" s="33" t="s">
        <v>26</v>
      </c>
      <c r="C85" s="33"/>
      <c r="D85" s="33"/>
      <c r="E85" s="11" t="s">
        <v>27</v>
      </c>
      <c r="F85" s="320"/>
      <c r="G85" s="174"/>
      <c r="H85" s="330"/>
      <c r="I85" s="174">
        <f>Materials!D48</f>
        <v>10</v>
      </c>
      <c r="J85" s="358" t="str">
        <f>Materials!C48</f>
        <v>acre</v>
      </c>
      <c r="K85" s="363">
        <v>1</v>
      </c>
      <c r="L85" s="330">
        <f t="shared" si="8"/>
        <v>10</v>
      </c>
      <c r="M85" s="177"/>
      <c r="N85" s="178"/>
      <c r="O85" s="342"/>
      <c r="P85" s="347">
        <f t="shared" si="9"/>
        <v>10</v>
      </c>
      <c r="Q85" s="33"/>
      <c r="R85" s="355"/>
    </row>
    <row r="86" spans="1:18" ht="9.75">
      <c r="A86" s="277"/>
      <c r="B86" s="33" t="s">
        <v>28</v>
      </c>
      <c r="C86" s="33"/>
      <c r="D86" s="33"/>
      <c r="E86" s="11" t="s">
        <v>29</v>
      </c>
      <c r="F86" s="320"/>
      <c r="G86" s="174"/>
      <c r="H86" s="330"/>
      <c r="I86" s="174">
        <f>Materials!D49</f>
        <v>100</v>
      </c>
      <c r="J86" s="358" t="str">
        <f>Materials!C49</f>
        <v>acre</v>
      </c>
      <c r="K86" s="363">
        <v>1</v>
      </c>
      <c r="L86" s="330">
        <f t="shared" si="8"/>
        <v>100</v>
      </c>
      <c r="M86" s="177"/>
      <c r="N86" s="178"/>
      <c r="O86" s="342"/>
      <c r="P86" s="347">
        <f t="shared" si="9"/>
        <v>100</v>
      </c>
      <c r="Q86" s="33"/>
      <c r="R86" s="355"/>
    </row>
    <row r="87" spans="1:18" ht="9.75">
      <c r="A87" s="277"/>
      <c r="B87" s="33" t="s">
        <v>31</v>
      </c>
      <c r="C87" s="33"/>
      <c r="D87" s="33"/>
      <c r="E87" s="11" t="s">
        <v>31</v>
      </c>
      <c r="F87" s="320"/>
      <c r="G87" s="174"/>
      <c r="H87" s="330"/>
      <c r="I87" s="174">
        <f>Materials!D50</f>
        <v>35</v>
      </c>
      <c r="J87" s="358" t="str">
        <f>Materials!C50</f>
        <v>acre</v>
      </c>
      <c r="K87" s="363">
        <v>1</v>
      </c>
      <c r="L87" s="330">
        <f t="shared" si="8"/>
        <v>35</v>
      </c>
      <c r="M87" s="177"/>
      <c r="N87" s="178"/>
      <c r="O87" s="342"/>
      <c r="P87" s="347">
        <f t="shared" si="9"/>
        <v>35</v>
      </c>
      <c r="Q87" s="33"/>
      <c r="R87" s="355"/>
    </row>
    <row r="88" spans="1:18" ht="9.75">
      <c r="A88" s="277"/>
      <c r="B88" s="33" t="s">
        <v>314</v>
      </c>
      <c r="C88" s="33"/>
      <c r="D88" s="33"/>
      <c r="E88" s="11"/>
      <c r="F88" s="320"/>
      <c r="G88" s="174"/>
      <c r="H88" s="330"/>
      <c r="I88" s="174">
        <f>Materials!D51</f>
        <v>40</v>
      </c>
      <c r="J88" s="358" t="str">
        <f>Materials!C51</f>
        <v>acre</v>
      </c>
      <c r="K88" s="363">
        <v>1</v>
      </c>
      <c r="L88" s="330">
        <f t="shared" si="8"/>
        <v>40</v>
      </c>
      <c r="M88" s="177"/>
      <c r="N88" s="178"/>
      <c r="O88" s="342"/>
      <c r="P88" s="347">
        <f t="shared" si="9"/>
        <v>40</v>
      </c>
      <c r="Q88" s="33"/>
      <c r="R88" s="355"/>
    </row>
    <row r="89" spans="1:18" ht="9.75">
      <c r="A89" s="277"/>
      <c r="B89" s="33" t="s">
        <v>32</v>
      </c>
      <c r="C89" s="33"/>
      <c r="D89" s="33"/>
      <c r="E89" s="11" t="s">
        <v>33</v>
      </c>
      <c r="F89" s="320"/>
      <c r="G89" s="174"/>
      <c r="H89" s="330"/>
      <c r="I89" s="174">
        <f>Materials!D52</f>
        <v>25</v>
      </c>
      <c r="J89" s="358" t="str">
        <f>Materials!C52</f>
        <v>acre</v>
      </c>
      <c r="K89" s="363">
        <v>1</v>
      </c>
      <c r="L89" s="330">
        <f t="shared" si="8"/>
        <v>25</v>
      </c>
      <c r="M89" s="177"/>
      <c r="N89" s="178"/>
      <c r="O89" s="342"/>
      <c r="P89" s="347">
        <f t="shared" si="9"/>
        <v>25</v>
      </c>
      <c r="Q89" s="33"/>
      <c r="R89" s="355"/>
    </row>
    <row r="90" spans="1:18" ht="9.75">
      <c r="A90" s="277" t="s">
        <v>35</v>
      </c>
      <c r="B90" s="277"/>
      <c r="C90" s="277"/>
      <c r="D90" s="277"/>
      <c r="E90" s="294"/>
      <c r="F90" s="321"/>
      <c r="G90" s="296"/>
      <c r="H90" s="331"/>
      <c r="I90" s="296"/>
      <c r="J90" s="295"/>
      <c r="K90" s="295"/>
      <c r="L90" s="331">
        <f>SUM(L$84:L$89)</f>
        <v>226</v>
      </c>
      <c r="M90" s="295"/>
      <c r="N90" s="295"/>
      <c r="O90" s="340"/>
      <c r="P90" s="340">
        <f>SUM(P$84:P$89)</f>
        <v>226</v>
      </c>
      <c r="Q90" s="299">
        <f>Q82+P90</f>
        <v>17953.61279359877</v>
      </c>
      <c r="R90" s="355"/>
    </row>
    <row r="91" spans="1:18" ht="9.75">
      <c r="A91" s="288" t="s">
        <v>36</v>
      </c>
      <c r="B91" s="288"/>
      <c r="C91" s="288"/>
      <c r="D91" s="288"/>
      <c r="E91" s="291"/>
      <c r="F91" s="291"/>
      <c r="G91" s="291"/>
      <c r="H91" s="291"/>
      <c r="I91" s="353"/>
      <c r="J91" s="291"/>
      <c r="K91" s="291"/>
      <c r="L91" s="291"/>
      <c r="M91" s="353"/>
      <c r="N91" s="291"/>
      <c r="O91" s="291"/>
      <c r="P91" s="354"/>
      <c r="Q91" s="287" t="s">
        <v>41</v>
      </c>
      <c r="R91" s="355"/>
    </row>
    <row r="92" spans="1:18" ht="9.75">
      <c r="A92" s="277"/>
      <c r="B92" s="33" t="s">
        <v>37</v>
      </c>
      <c r="C92" s="33"/>
      <c r="D92" s="33"/>
      <c r="E92" s="11" t="s">
        <v>38</v>
      </c>
      <c r="F92" s="461">
        <v>2</v>
      </c>
      <c r="G92" s="174">
        <f>Machinery!V21</f>
        <v>16.150000000000002</v>
      </c>
      <c r="H92" s="330">
        <f>F92*G92</f>
        <v>32.300000000000004</v>
      </c>
      <c r="I92" s="174"/>
      <c r="J92" s="175"/>
      <c r="K92" s="176"/>
      <c r="L92" s="330"/>
      <c r="M92" s="177">
        <f>$F92*1.2</f>
        <v>2.4</v>
      </c>
      <c r="N92" s="179">
        <f>Labor!I107</f>
        <v>8.474923076923078</v>
      </c>
      <c r="O92" s="342">
        <f>$M92*$N92</f>
        <v>20.339815384615388</v>
      </c>
      <c r="P92" s="347">
        <f>$O92+$L92+$H92</f>
        <v>52.63981538461539</v>
      </c>
      <c r="Q92" s="33"/>
      <c r="R92" s="355"/>
    </row>
    <row r="93" spans="1:18" ht="9.75">
      <c r="A93" s="277"/>
      <c r="B93" s="33" t="s">
        <v>39</v>
      </c>
      <c r="C93" s="33"/>
      <c r="D93" s="33"/>
      <c r="E93" s="11"/>
      <c r="F93" s="320"/>
      <c r="G93" s="174"/>
      <c r="H93" s="330"/>
      <c r="I93" s="174">
        <f>Materials!D53</f>
        <v>70</v>
      </c>
      <c r="J93" s="358" t="str">
        <f>Materials!C53</f>
        <v>acre</v>
      </c>
      <c r="K93" s="363">
        <v>1</v>
      </c>
      <c r="L93" s="330">
        <f>$I93*K93</f>
        <v>70</v>
      </c>
      <c r="M93" s="177"/>
      <c r="N93" s="178"/>
      <c r="O93" s="342"/>
      <c r="P93" s="347">
        <f>$O93+$L93+$H93</f>
        <v>70</v>
      </c>
      <c r="Q93" s="33"/>
      <c r="R93" s="355"/>
    </row>
    <row r="94" spans="1:18" ht="9.75">
      <c r="A94" s="277" t="s">
        <v>40</v>
      </c>
      <c r="B94" s="277"/>
      <c r="C94" s="277"/>
      <c r="D94" s="277"/>
      <c r="E94" s="294"/>
      <c r="F94" s="321">
        <f>SUM(F$92:F$93)</f>
        <v>2</v>
      </c>
      <c r="G94" s="296"/>
      <c r="H94" s="331">
        <f>SUM(H$92:H$93)</f>
        <v>32.300000000000004</v>
      </c>
      <c r="I94" s="296"/>
      <c r="J94" s="295"/>
      <c r="K94" s="295"/>
      <c r="L94" s="331">
        <f>SUM(L$92:L$93)</f>
        <v>70</v>
      </c>
      <c r="M94" s="295">
        <f>SUM(M$92:M$93)</f>
        <v>2.4</v>
      </c>
      <c r="N94" s="295"/>
      <c r="O94" s="340">
        <f>SUM(O$92:O$93)</f>
        <v>20.339815384615388</v>
      </c>
      <c r="P94" s="340">
        <f>SUM(P$92:P$93)</f>
        <v>122.63981538461539</v>
      </c>
      <c r="Q94" s="299">
        <f>Q90+P94</f>
        <v>18076.25260898339</v>
      </c>
      <c r="R94" s="355"/>
    </row>
    <row r="95" spans="1:18" ht="9.75">
      <c r="A95" s="287" t="s">
        <v>327</v>
      </c>
      <c r="B95" s="288"/>
      <c r="C95" s="288"/>
      <c r="D95" s="288"/>
      <c r="E95" s="291"/>
      <c r="F95" s="322">
        <f>SUM(F$94+F$90+F$82+F$75+F$62+F$46+F$21+F$12+F$7)</f>
        <v>219.433</v>
      </c>
      <c r="G95" s="301"/>
      <c r="H95" s="335">
        <f>SUM(H$94+H$90+H$82+H$75+H$62+H$46+H$21+H$12+H$7)</f>
        <v>2310.711195137233</v>
      </c>
      <c r="I95" s="306"/>
      <c r="J95" s="306"/>
      <c r="K95" s="306"/>
      <c r="L95" s="335">
        <f>SUM(L$94+L$90+L$82+L$75+L$62+L$46+L$21+L$12+L$7)</f>
        <v>4249.5775</v>
      </c>
      <c r="M95" s="301">
        <f>SUM(M$94+M$90+M$82+M$75+M$62+M$46+M$21+M$12+M$7)</f>
        <v>3601.7920000000004</v>
      </c>
      <c r="N95" s="301"/>
      <c r="O95" s="335">
        <f>SUM(O$94+O$90+O$82+O$75+O$62+O$46+O$21+O$12+O$7)</f>
        <v>11515.963913846155</v>
      </c>
      <c r="P95" s="335">
        <f>SUM(P$94+P$90+P$82+P$75+P$62+P$46+P$21+P$12+P$7)</f>
        <v>18076.25260898339</v>
      </c>
      <c r="Q95" s="306">
        <f>P95</f>
        <v>18076.25260898339</v>
      </c>
      <c r="R95" s="355"/>
    </row>
    <row r="96" spans="5:16" ht="9.75">
      <c r="E96" s="234"/>
      <c r="F96" s="233"/>
      <c r="J96" s="238"/>
      <c r="K96" s="234"/>
      <c r="M96" s="233"/>
      <c r="N96" s="240"/>
      <c r="O96" s="240"/>
      <c r="P96" s="240"/>
    </row>
    <row r="97" spans="5:16" ht="9.75">
      <c r="E97" s="234"/>
      <c r="F97" s="235"/>
      <c r="I97" s="236"/>
      <c r="J97" s="238"/>
      <c r="K97" s="234"/>
      <c r="M97" s="235"/>
      <c r="N97" s="240"/>
      <c r="O97" s="240"/>
      <c r="P97" s="240"/>
    </row>
    <row r="98" spans="5:16" ht="9.75">
      <c r="E98" s="234"/>
      <c r="F98" s="235"/>
      <c r="I98" s="236"/>
      <c r="J98" s="238"/>
      <c r="K98" s="234"/>
      <c r="M98" s="235"/>
      <c r="N98" s="240"/>
      <c r="O98" s="240"/>
      <c r="P98" s="240"/>
    </row>
    <row r="99" spans="5:16" ht="9.75">
      <c r="E99" s="234"/>
      <c r="F99" s="235"/>
      <c r="I99" s="236"/>
      <c r="J99" s="238"/>
      <c r="K99" s="234"/>
      <c r="M99" s="235"/>
      <c r="N99" s="240"/>
      <c r="O99" s="240"/>
      <c r="P99" s="240"/>
    </row>
    <row r="100" spans="1:16" ht="9.75">
      <c r="A100" s="312"/>
      <c r="E100" s="234"/>
      <c r="F100" s="235"/>
      <c r="I100" s="236"/>
      <c r="J100" s="238"/>
      <c r="K100" s="234"/>
      <c r="M100" s="235"/>
      <c r="N100" s="240"/>
      <c r="O100" s="240"/>
      <c r="P100" s="240"/>
    </row>
    <row r="101" spans="5:16" ht="9.75">
      <c r="E101" s="234"/>
      <c r="F101" s="235"/>
      <c r="G101" s="236"/>
      <c r="I101" s="236"/>
      <c r="J101" s="238"/>
      <c r="K101" s="239"/>
      <c r="L101" s="236"/>
      <c r="M101" s="235"/>
      <c r="N101" s="240"/>
      <c r="O101" s="240"/>
      <c r="P101" s="240"/>
    </row>
    <row r="102" spans="5:16" ht="9.75">
      <c r="E102" s="234"/>
      <c r="F102" s="235"/>
      <c r="G102" s="236"/>
      <c r="I102" s="236"/>
      <c r="J102" s="238"/>
      <c r="K102" s="239"/>
      <c r="L102" s="236"/>
      <c r="M102" s="235"/>
      <c r="N102" s="240"/>
      <c r="O102" s="240"/>
      <c r="P102" s="240"/>
    </row>
    <row r="103" spans="5:16" ht="9.75">
      <c r="E103" s="234"/>
      <c r="F103" s="235"/>
      <c r="G103" s="236"/>
      <c r="I103" s="236"/>
      <c r="J103" s="238"/>
      <c r="K103" s="239"/>
      <c r="L103" s="236"/>
      <c r="M103" s="235"/>
      <c r="N103" s="240"/>
      <c r="O103" s="240"/>
      <c r="P103" s="240"/>
    </row>
    <row r="104" spans="5:17" ht="9.75">
      <c r="E104" s="234"/>
      <c r="F104" s="235"/>
      <c r="G104" s="236"/>
      <c r="I104" s="236"/>
      <c r="J104" s="238"/>
      <c r="K104" s="239"/>
      <c r="M104" s="235"/>
      <c r="N104" s="240"/>
      <c r="O104" s="240"/>
      <c r="P104" s="241"/>
      <c r="Q104" s="240"/>
    </row>
    <row r="105" spans="1:16" ht="9.75">
      <c r="A105" s="313"/>
      <c r="E105" s="234"/>
      <c r="F105" s="235"/>
      <c r="J105" s="238"/>
      <c r="K105" s="234"/>
      <c r="M105" s="235"/>
      <c r="N105" s="240"/>
      <c r="O105" s="240"/>
      <c r="P105" s="240"/>
    </row>
    <row r="106" spans="5:16" ht="9.75">
      <c r="E106" s="234"/>
      <c r="F106" s="235"/>
      <c r="J106" s="238"/>
      <c r="K106" s="234"/>
      <c r="M106" s="235"/>
      <c r="N106" s="240"/>
      <c r="O106" s="240"/>
      <c r="P106" s="240"/>
    </row>
    <row r="107" spans="5:16" ht="9.75">
      <c r="E107" s="234"/>
      <c r="F107" s="235"/>
      <c r="J107" s="238"/>
      <c r="K107" s="234"/>
      <c r="M107" s="235"/>
      <c r="N107" s="240"/>
      <c r="O107" s="240"/>
      <c r="P107" s="240"/>
    </row>
    <row r="108" spans="5:16" ht="9.75">
      <c r="E108" s="234"/>
      <c r="F108" s="235"/>
      <c r="J108" s="238"/>
      <c r="K108" s="234"/>
      <c r="M108" s="235"/>
      <c r="N108" s="240"/>
      <c r="O108" s="240"/>
      <c r="P108" s="240"/>
    </row>
    <row r="109" spans="5:16" ht="9.75">
      <c r="E109" s="234"/>
      <c r="F109" s="235"/>
      <c r="J109" s="238"/>
      <c r="K109" s="234"/>
      <c r="M109" s="235"/>
      <c r="N109" s="240"/>
      <c r="O109" s="240"/>
      <c r="P109" s="240"/>
    </row>
    <row r="110" spans="5:16" ht="9.75">
      <c r="E110" s="234"/>
      <c r="F110" s="235"/>
      <c r="I110" s="236"/>
      <c r="J110" s="238"/>
      <c r="K110" s="234"/>
      <c r="M110" s="235"/>
      <c r="N110" s="240"/>
      <c r="O110" s="240"/>
      <c r="P110" s="240"/>
    </row>
    <row r="111" spans="5:16" ht="9.75">
      <c r="E111" s="234"/>
      <c r="F111" s="235"/>
      <c r="J111" s="238"/>
      <c r="K111" s="234"/>
      <c r="M111" s="235"/>
      <c r="N111" s="240"/>
      <c r="O111" s="240"/>
      <c r="P111" s="240"/>
    </row>
    <row r="112" spans="5:16" ht="9.75">
      <c r="E112" s="234"/>
      <c r="F112" s="235"/>
      <c r="J112" s="238"/>
      <c r="K112" s="234"/>
      <c r="M112" s="235"/>
      <c r="N112" s="240"/>
      <c r="O112" s="240"/>
      <c r="P112" s="240"/>
    </row>
    <row r="113" spans="5:16" ht="9.75">
      <c r="E113" s="234"/>
      <c r="F113" s="235"/>
      <c r="I113" s="314"/>
      <c r="J113" s="238"/>
      <c r="K113" s="234"/>
      <c r="M113" s="235"/>
      <c r="N113" s="240"/>
      <c r="O113" s="240"/>
      <c r="P113" s="240"/>
    </row>
    <row r="114" spans="11:17" ht="9.75">
      <c r="K114" s="234"/>
      <c r="O114" s="240"/>
      <c r="P114" s="241"/>
      <c r="Q114" s="240"/>
    </row>
    <row r="115" spans="1:16" ht="9.75">
      <c r="A115" s="313"/>
      <c r="E115" s="234"/>
      <c r="F115" s="235"/>
      <c r="J115" s="238"/>
      <c r="K115" s="234"/>
      <c r="M115" s="235"/>
      <c r="N115" s="240"/>
      <c r="O115" s="240"/>
      <c r="P115" s="240"/>
    </row>
    <row r="116" spans="5:16" ht="9.75">
      <c r="E116" s="234"/>
      <c r="F116" s="235"/>
      <c r="J116" s="238"/>
      <c r="K116" s="234"/>
      <c r="M116" s="235"/>
      <c r="N116" s="240"/>
      <c r="O116" s="240"/>
      <c r="P116" s="240"/>
    </row>
    <row r="117" spans="5:16" ht="9.75">
      <c r="E117" s="234"/>
      <c r="F117" s="235"/>
      <c r="I117" s="236"/>
      <c r="J117" s="238"/>
      <c r="K117" s="234"/>
      <c r="M117" s="235"/>
      <c r="N117" s="240"/>
      <c r="O117" s="240"/>
      <c r="P117" s="240"/>
    </row>
    <row r="118" spans="5:16" ht="9.75">
      <c r="E118" s="234"/>
      <c r="F118" s="233"/>
      <c r="G118" s="236"/>
      <c r="I118" s="236"/>
      <c r="J118" s="315"/>
      <c r="K118" s="11"/>
      <c r="L118" s="236"/>
      <c r="M118" s="233"/>
      <c r="N118" s="240"/>
      <c r="O118" s="316"/>
      <c r="P118" s="240"/>
    </row>
    <row r="119" spans="5:16" ht="9.75">
      <c r="E119" s="234"/>
      <c r="F119" s="235"/>
      <c r="J119" s="238"/>
      <c r="K119" s="234"/>
      <c r="M119" s="235"/>
      <c r="N119" s="240"/>
      <c r="O119" s="240"/>
      <c r="P119" s="240"/>
    </row>
    <row r="120" spans="5:17" ht="9.75">
      <c r="E120" s="234"/>
      <c r="F120" s="235"/>
      <c r="J120" s="238"/>
      <c r="K120" s="234"/>
      <c r="M120" s="235"/>
      <c r="N120" s="240"/>
      <c r="O120" s="240"/>
      <c r="P120" s="241"/>
      <c r="Q120" s="240"/>
    </row>
    <row r="121" spans="1:17" ht="9.75">
      <c r="A121" s="312"/>
      <c r="E121" s="234"/>
      <c r="F121" s="235"/>
      <c r="J121" s="238"/>
      <c r="K121" s="234"/>
      <c r="M121" s="235"/>
      <c r="N121" s="240"/>
      <c r="O121" s="240"/>
      <c r="P121" s="241"/>
      <c r="Q121" s="240"/>
    </row>
    <row r="122" spans="1:16" ht="9.75">
      <c r="A122" s="313"/>
      <c r="E122" s="234"/>
      <c r="F122" s="235"/>
      <c r="J122" s="238"/>
      <c r="K122" s="234"/>
      <c r="M122" s="235"/>
      <c r="N122" s="240"/>
      <c r="O122" s="240"/>
      <c r="P122" s="240"/>
    </row>
    <row r="123" spans="5:16" ht="9.75">
      <c r="E123" s="234"/>
      <c r="F123" s="235"/>
      <c r="J123" s="238"/>
      <c r="K123" s="234"/>
      <c r="M123" s="235"/>
      <c r="N123" s="240"/>
      <c r="O123" s="240"/>
      <c r="P123" s="240"/>
    </row>
    <row r="124" spans="5:16" ht="9.75">
      <c r="E124" s="234"/>
      <c r="F124" s="235"/>
      <c r="J124" s="238"/>
      <c r="K124" s="234"/>
      <c r="M124" s="235"/>
      <c r="N124" s="240"/>
      <c r="O124" s="240"/>
      <c r="P124" s="240"/>
    </row>
    <row r="125" spans="5:16" ht="9.75">
      <c r="E125" s="234"/>
      <c r="F125" s="235"/>
      <c r="J125" s="238"/>
      <c r="K125" s="234"/>
      <c r="M125" s="235"/>
      <c r="N125" s="240"/>
      <c r="O125" s="240"/>
      <c r="P125" s="240"/>
    </row>
    <row r="126" spans="5:16" ht="9.75">
      <c r="E126" s="234"/>
      <c r="F126" s="235"/>
      <c r="J126" s="238"/>
      <c r="K126" s="234"/>
      <c r="M126" s="235"/>
      <c r="N126" s="240"/>
      <c r="O126" s="240"/>
      <c r="P126" s="240"/>
    </row>
    <row r="127" spans="5:17" ht="9.75">
      <c r="E127" s="234"/>
      <c r="F127" s="235"/>
      <c r="J127" s="238"/>
      <c r="K127" s="234"/>
      <c r="M127" s="235"/>
      <c r="N127" s="240"/>
      <c r="O127" s="240"/>
      <c r="P127" s="241"/>
      <c r="Q127" s="240"/>
    </row>
    <row r="128" spans="1:16" ht="9.75">
      <c r="A128" s="313"/>
      <c r="E128" s="234"/>
      <c r="F128" s="235"/>
      <c r="J128" s="238"/>
      <c r="K128" s="234"/>
      <c r="M128" s="235"/>
      <c r="N128" s="240"/>
      <c r="O128" s="240"/>
      <c r="P128" s="240"/>
    </row>
    <row r="129" spans="5:16" ht="9.75">
      <c r="E129" s="234"/>
      <c r="F129" s="235"/>
      <c r="J129" s="238"/>
      <c r="K129" s="234"/>
      <c r="M129" s="235"/>
      <c r="N129" s="240"/>
      <c r="O129" s="240"/>
      <c r="P129" s="240"/>
    </row>
    <row r="130" spans="5:16" ht="9.75">
      <c r="E130" s="234"/>
      <c r="F130" s="235"/>
      <c r="J130" s="238"/>
      <c r="K130" s="234"/>
      <c r="M130" s="235"/>
      <c r="N130" s="240"/>
      <c r="O130" s="240"/>
      <c r="P130" s="240"/>
    </row>
    <row r="131" spans="5:16" ht="9.75">
      <c r="E131" s="234"/>
      <c r="F131" s="235"/>
      <c r="J131" s="238"/>
      <c r="K131" s="234"/>
      <c r="M131" s="235"/>
      <c r="N131" s="240"/>
      <c r="O131" s="240"/>
      <c r="P131" s="240"/>
    </row>
    <row r="132" spans="5:16" ht="9.75">
      <c r="E132" s="234"/>
      <c r="F132" s="235"/>
      <c r="J132" s="238"/>
      <c r="K132" s="234"/>
      <c r="M132" s="235"/>
      <c r="N132" s="240"/>
      <c r="O132" s="240"/>
      <c r="P132" s="240"/>
    </row>
    <row r="133" spans="5:16" ht="9.75">
      <c r="E133" s="234"/>
      <c r="F133" s="235"/>
      <c r="J133" s="238"/>
      <c r="K133" s="234"/>
      <c r="M133" s="235"/>
      <c r="N133" s="240"/>
      <c r="O133" s="240"/>
      <c r="P133" s="240"/>
    </row>
    <row r="134" spans="5:16" ht="9.75">
      <c r="E134" s="234"/>
      <c r="F134" s="235"/>
      <c r="J134" s="238"/>
      <c r="K134" s="234"/>
      <c r="M134" s="235"/>
      <c r="N134" s="240"/>
      <c r="O134" s="240"/>
      <c r="P134" s="240"/>
    </row>
    <row r="135" spans="5:16" ht="9.75">
      <c r="E135" s="234"/>
      <c r="F135" s="235"/>
      <c r="J135" s="238"/>
      <c r="K135" s="234"/>
      <c r="M135" s="235"/>
      <c r="N135" s="240"/>
      <c r="O135" s="240"/>
      <c r="P135" s="240"/>
    </row>
    <row r="136" spans="5:16" ht="9.75">
      <c r="E136" s="234"/>
      <c r="F136" s="235"/>
      <c r="J136" s="238"/>
      <c r="K136" s="234"/>
      <c r="M136" s="235"/>
      <c r="N136" s="240"/>
      <c r="O136" s="240"/>
      <c r="P136" s="240"/>
    </row>
    <row r="137" spans="5:16" ht="9.75">
      <c r="E137" s="234"/>
      <c r="F137" s="235"/>
      <c r="J137" s="238"/>
      <c r="K137" s="234"/>
      <c r="M137" s="235"/>
      <c r="N137" s="240"/>
      <c r="O137" s="240"/>
      <c r="P137" s="240"/>
    </row>
    <row r="138" spans="11:17" ht="9.75">
      <c r="K138" s="234"/>
      <c r="O138" s="240"/>
      <c r="P138" s="241"/>
      <c r="Q138" s="240"/>
    </row>
    <row r="139" spans="1:16" ht="9.75">
      <c r="A139" s="313"/>
      <c r="E139" s="234"/>
      <c r="F139" s="235"/>
      <c r="J139" s="238"/>
      <c r="K139" s="234"/>
      <c r="M139" s="235"/>
      <c r="N139" s="240"/>
      <c r="O139" s="240"/>
      <c r="P139" s="240"/>
    </row>
    <row r="140" spans="5:16" ht="9.75">
      <c r="E140" s="234"/>
      <c r="F140" s="235"/>
      <c r="J140" s="238"/>
      <c r="K140" s="234"/>
      <c r="M140" s="235"/>
      <c r="N140" s="240"/>
      <c r="O140" s="240"/>
      <c r="P140" s="240"/>
    </row>
    <row r="141" spans="5:16" ht="9.75">
      <c r="E141" s="234"/>
      <c r="F141" s="235"/>
      <c r="J141" s="238"/>
      <c r="K141" s="234"/>
      <c r="M141" s="235"/>
      <c r="N141" s="240"/>
      <c r="O141" s="240"/>
      <c r="P141" s="240"/>
    </row>
    <row r="142" spans="5:16" ht="9.75">
      <c r="E142" s="234"/>
      <c r="F142" s="235"/>
      <c r="J142" s="238"/>
      <c r="K142" s="234"/>
      <c r="M142" s="235"/>
      <c r="N142" s="240"/>
      <c r="O142" s="240"/>
      <c r="P142" s="240"/>
    </row>
    <row r="143" spans="1:16" ht="9.75">
      <c r="A143" s="312"/>
      <c r="E143" s="234"/>
      <c r="F143" s="235"/>
      <c r="J143" s="238"/>
      <c r="K143" s="234"/>
      <c r="M143" s="235"/>
      <c r="N143" s="240"/>
      <c r="O143" s="240"/>
      <c r="P143" s="240"/>
    </row>
    <row r="144" spans="5:16" ht="9.75">
      <c r="E144" s="234"/>
      <c r="F144" s="235"/>
      <c r="J144" s="238"/>
      <c r="K144" s="234"/>
      <c r="M144" s="235"/>
      <c r="N144" s="240"/>
      <c r="O144" s="240"/>
      <c r="P144" s="240"/>
    </row>
    <row r="145" spans="5:16" ht="9.75">
      <c r="E145" s="234"/>
      <c r="F145" s="235"/>
      <c r="K145" s="234"/>
      <c r="M145" s="235"/>
      <c r="N145" s="240"/>
      <c r="O145" s="240"/>
      <c r="P145" s="240"/>
    </row>
    <row r="146" spans="5:16" ht="9.75">
      <c r="E146" s="234"/>
      <c r="F146" s="235"/>
      <c r="I146" s="236"/>
      <c r="J146" s="238"/>
      <c r="K146" s="234"/>
      <c r="M146" s="235"/>
      <c r="N146" s="240"/>
      <c r="O146" s="240"/>
      <c r="P146" s="240"/>
    </row>
    <row r="147" spans="5:16" ht="9.75">
      <c r="E147" s="234"/>
      <c r="F147" s="235"/>
      <c r="I147" s="236"/>
      <c r="J147" s="238"/>
      <c r="K147" s="234"/>
      <c r="M147" s="235"/>
      <c r="N147" s="240"/>
      <c r="O147" s="240"/>
      <c r="P147" s="240"/>
    </row>
    <row r="148" spans="5:16" ht="9.75">
      <c r="E148" s="234"/>
      <c r="F148" s="235"/>
      <c r="J148" s="238"/>
      <c r="K148" s="234"/>
      <c r="M148" s="235"/>
      <c r="N148" s="240"/>
      <c r="O148" s="240"/>
      <c r="P148" s="240"/>
    </row>
    <row r="149" spans="5:16" ht="9.75">
      <c r="E149" s="234"/>
      <c r="F149" s="235"/>
      <c r="I149" s="236"/>
      <c r="J149" s="238"/>
      <c r="K149" s="234"/>
      <c r="M149" s="235"/>
      <c r="N149" s="240"/>
      <c r="O149" s="240"/>
      <c r="P149" s="240"/>
    </row>
    <row r="150" spans="5:16" ht="9.75">
      <c r="E150" s="234"/>
      <c r="F150" s="235"/>
      <c r="J150" s="238"/>
      <c r="K150" s="234"/>
      <c r="M150" s="235"/>
      <c r="N150" s="240"/>
      <c r="O150" s="240"/>
      <c r="P150" s="240"/>
    </row>
    <row r="151" spans="5:16" ht="9.75">
      <c r="E151" s="234"/>
      <c r="F151" s="235"/>
      <c r="I151" s="236"/>
      <c r="J151" s="238"/>
      <c r="K151" s="234"/>
      <c r="L151" s="236"/>
      <c r="M151" s="235"/>
      <c r="N151" s="240"/>
      <c r="O151" s="240"/>
      <c r="P151" s="240"/>
    </row>
    <row r="152" spans="5:16" ht="9.75">
      <c r="E152" s="234"/>
      <c r="F152" s="235"/>
      <c r="I152" s="314"/>
      <c r="J152" s="238"/>
      <c r="K152" s="234"/>
      <c r="L152" s="236"/>
      <c r="M152" s="235"/>
      <c r="N152" s="240"/>
      <c r="O152" s="240"/>
      <c r="P152" s="240"/>
    </row>
    <row r="153" spans="5:16" ht="9.75">
      <c r="E153" s="234"/>
      <c r="F153" s="235"/>
      <c r="J153" s="238"/>
      <c r="K153" s="234"/>
      <c r="M153" s="235"/>
      <c r="N153" s="240"/>
      <c r="O153" s="240"/>
      <c r="P153" s="240"/>
    </row>
    <row r="154" spans="5:17" ht="9.75">
      <c r="E154" s="234"/>
      <c r="F154" s="235"/>
      <c r="J154" s="238"/>
      <c r="K154" s="234"/>
      <c r="M154" s="235"/>
      <c r="N154" s="240"/>
      <c r="O154" s="240"/>
      <c r="P154" s="240"/>
      <c r="Q154" s="240"/>
    </row>
    <row r="155" spans="5:17" ht="9.75">
      <c r="E155" s="234"/>
      <c r="F155" s="235"/>
      <c r="I155" s="236"/>
      <c r="J155" s="238"/>
      <c r="K155" s="234"/>
      <c r="M155" s="235"/>
      <c r="N155" s="240"/>
      <c r="O155" s="240"/>
      <c r="P155" s="240"/>
      <c r="Q155" s="240"/>
    </row>
    <row r="156" spans="5:17" ht="9.75">
      <c r="E156" s="234"/>
      <c r="F156" s="235"/>
      <c r="I156" s="314"/>
      <c r="J156" s="238"/>
      <c r="K156" s="234"/>
      <c r="M156" s="235"/>
      <c r="N156" s="240"/>
      <c r="O156" s="240"/>
      <c r="P156" s="241"/>
      <c r="Q156" s="240"/>
    </row>
    <row r="157" spans="1:16" ht="9.75">
      <c r="A157" s="313"/>
      <c r="E157" s="234"/>
      <c r="F157" s="235"/>
      <c r="J157" s="238"/>
      <c r="K157" s="234"/>
      <c r="M157" s="235"/>
      <c r="N157" s="240"/>
      <c r="O157" s="240"/>
      <c r="P157" s="240"/>
    </row>
    <row r="158" spans="5:16" ht="9.75">
      <c r="E158" s="234"/>
      <c r="F158" s="235"/>
      <c r="J158" s="238"/>
      <c r="K158" s="234"/>
      <c r="M158" s="235"/>
      <c r="N158" s="240"/>
      <c r="O158" s="240"/>
      <c r="P158" s="240"/>
    </row>
    <row r="159" spans="5:16" ht="9.75">
      <c r="E159" s="234"/>
      <c r="F159" s="235"/>
      <c r="J159" s="238"/>
      <c r="K159" s="234"/>
      <c r="M159" s="235"/>
      <c r="N159" s="240"/>
      <c r="O159" s="240"/>
      <c r="P159" s="240"/>
    </row>
    <row r="160" spans="5:16" ht="9.75">
      <c r="E160" s="234"/>
      <c r="F160" s="235"/>
      <c r="J160" s="238"/>
      <c r="K160" s="234"/>
      <c r="M160" s="235"/>
      <c r="N160" s="240"/>
      <c r="O160" s="240"/>
      <c r="P160" s="240"/>
    </row>
    <row r="161" spans="5:16" ht="9.75">
      <c r="E161" s="234"/>
      <c r="F161" s="235"/>
      <c r="J161" s="238"/>
      <c r="K161" s="234"/>
      <c r="M161" s="235"/>
      <c r="N161" s="240"/>
      <c r="O161" s="240"/>
      <c r="P161" s="240"/>
    </row>
    <row r="162" spans="5:16" ht="9.75">
      <c r="E162" s="234"/>
      <c r="F162" s="235"/>
      <c r="I162" s="236"/>
      <c r="J162" s="238"/>
      <c r="K162" s="234"/>
      <c r="L162" s="236"/>
      <c r="M162" s="235"/>
      <c r="N162" s="240"/>
      <c r="O162" s="240"/>
      <c r="P162" s="240"/>
    </row>
    <row r="163" spans="5:16" ht="9.75">
      <c r="E163" s="234"/>
      <c r="F163" s="235"/>
      <c r="I163" s="314"/>
      <c r="J163" s="238"/>
      <c r="K163" s="234"/>
      <c r="L163" s="236"/>
      <c r="M163" s="235"/>
      <c r="N163" s="240"/>
      <c r="O163" s="240"/>
      <c r="P163" s="240"/>
    </row>
    <row r="164" spans="5:16" ht="9.75">
      <c r="E164" s="234"/>
      <c r="F164" s="235"/>
      <c r="I164" s="236"/>
      <c r="J164" s="238"/>
      <c r="K164" s="234"/>
      <c r="L164" s="236"/>
      <c r="M164" s="235"/>
      <c r="N164" s="240"/>
      <c r="O164" s="240"/>
      <c r="P164" s="240"/>
    </row>
    <row r="165" spans="5:16" ht="9.75">
      <c r="E165" s="234"/>
      <c r="F165" s="235"/>
      <c r="I165" s="236"/>
      <c r="J165" s="238"/>
      <c r="K165" s="234"/>
      <c r="L165" s="236"/>
      <c r="M165" s="235"/>
      <c r="N165" s="240"/>
      <c r="O165" s="240"/>
      <c r="P165" s="240"/>
    </row>
    <row r="166" spans="5:16" ht="9.75">
      <c r="E166" s="234"/>
      <c r="F166" s="235"/>
      <c r="I166" s="236"/>
      <c r="J166" s="238"/>
      <c r="K166" s="234"/>
      <c r="L166" s="236"/>
      <c r="M166" s="235"/>
      <c r="N166" s="240"/>
      <c r="O166" s="240"/>
      <c r="P166" s="240"/>
    </row>
    <row r="167" spans="5:16" ht="9.75">
      <c r="E167" s="234"/>
      <c r="F167" s="235"/>
      <c r="J167" s="238"/>
      <c r="K167" s="234"/>
      <c r="M167" s="235"/>
      <c r="N167" s="240"/>
      <c r="O167" s="240"/>
      <c r="P167" s="240"/>
    </row>
    <row r="168" spans="5:16" ht="9.75">
      <c r="E168" s="234"/>
      <c r="F168" s="235"/>
      <c r="J168" s="238"/>
      <c r="K168" s="234"/>
      <c r="M168" s="235"/>
      <c r="N168" s="240"/>
      <c r="O168" s="240"/>
      <c r="P168" s="240"/>
    </row>
    <row r="169" spans="5:16" ht="9.75">
      <c r="E169" s="234"/>
      <c r="F169" s="235"/>
      <c r="J169" s="238"/>
      <c r="K169" s="234"/>
      <c r="M169" s="235"/>
      <c r="N169" s="240"/>
      <c r="O169" s="240"/>
      <c r="P169" s="240"/>
    </row>
    <row r="170" spans="5:16" ht="9.75">
      <c r="E170" s="234"/>
      <c r="F170" s="235"/>
      <c r="I170" s="236"/>
      <c r="J170" s="238"/>
      <c r="K170" s="234"/>
      <c r="M170" s="235"/>
      <c r="N170" s="240"/>
      <c r="O170" s="240"/>
      <c r="P170" s="240"/>
    </row>
    <row r="171" spans="5:16" ht="9.75">
      <c r="E171" s="234"/>
      <c r="F171" s="235"/>
      <c r="J171" s="238"/>
      <c r="K171" s="234"/>
      <c r="M171" s="235"/>
      <c r="N171" s="240"/>
      <c r="O171" s="240"/>
      <c r="P171" s="240"/>
    </row>
    <row r="172" spans="5:16" ht="9.75">
      <c r="E172" s="234"/>
      <c r="F172" s="235"/>
      <c r="J172" s="238"/>
      <c r="K172" s="234"/>
      <c r="M172" s="235"/>
      <c r="N172" s="240"/>
      <c r="O172" s="240"/>
      <c r="P172" s="240"/>
    </row>
    <row r="173" spans="5:16" ht="9.75">
      <c r="E173" s="234"/>
      <c r="F173" s="235"/>
      <c r="J173" s="238"/>
      <c r="K173" s="234"/>
      <c r="M173" s="235"/>
      <c r="N173" s="240"/>
      <c r="O173" s="240"/>
      <c r="P173" s="240"/>
    </row>
    <row r="174" spans="5:16" ht="9.75">
      <c r="E174" s="234"/>
      <c r="F174" s="235"/>
      <c r="J174" s="238"/>
      <c r="K174" s="234"/>
      <c r="M174" s="235"/>
      <c r="N174" s="240"/>
      <c r="O174" s="240"/>
      <c r="P174" s="240"/>
    </row>
    <row r="175" spans="5:16" ht="9.75">
      <c r="E175" s="234"/>
      <c r="F175" s="235"/>
      <c r="J175" s="238"/>
      <c r="K175" s="234"/>
      <c r="M175" s="235"/>
      <c r="N175" s="240"/>
      <c r="O175" s="240"/>
      <c r="P175" s="240"/>
    </row>
    <row r="176" spans="5:16" ht="9.75">
      <c r="E176" s="234"/>
      <c r="F176" s="235"/>
      <c r="I176" s="236"/>
      <c r="J176" s="238"/>
      <c r="K176" s="234"/>
      <c r="L176" s="236"/>
      <c r="M176" s="235"/>
      <c r="N176" s="240"/>
      <c r="O176" s="240"/>
      <c r="P176" s="240"/>
    </row>
    <row r="177" spans="5:16" ht="9.75">
      <c r="E177" s="234"/>
      <c r="F177" s="235"/>
      <c r="I177" s="314"/>
      <c r="J177" s="238"/>
      <c r="K177" s="234"/>
      <c r="L177" s="236"/>
      <c r="M177" s="235"/>
      <c r="N177" s="240"/>
      <c r="O177" s="240"/>
      <c r="P177" s="240"/>
    </row>
    <row r="178" spans="5:16" ht="9.75">
      <c r="E178" s="234"/>
      <c r="F178" s="235"/>
      <c r="J178" s="238"/>
      <c r="K178" s="234"/>
      <c r="M178" s="235"/>
      <c r="N178" s="240"/>
      <c r="O178" s="240"/>
      <c r="P178" s="240"/>
    </row>
    <row r="179" spans="5:16" ht="9.75">
      <c r="E179" s="234"/>
      <c r="F179" s="235"/>
      <c r="J179" s="238"/>
      <c r="K179" s="234"/>
      <c r="M179" s="235"/>
      <c r="N179" s="240"/>
      <c r="O179" s="240"/>
      <c r="P179" s="240"/>
    </row>
    <row r="180" spans="5:16" ht="9.75">
      <c r="E180" s="234"/>
      <c r="F180" s="235"/>
      <c r="I180" s="236"/>
      <c r="J180" s="238"/>
      <c r="K180" s="234"/>
      <c r="L180" s="236"/>
      <c r="M180" s="235"/>
      <c r="N180" s="240"/>
      <c r="O180" s="240"/>
      <c r="P180" s="240"/>
    </row>
    <row r="181" spans="5:16" ht="9.75">
      <c r="E181" s="234"/>
      <c r="F181" s="235"/>
      <c r="I181" s="314"/>
      <c r="J181" s="238"/>
      <c r="K181" s="234"/>
      <c r="L181" s="236"/>
      <c r="M181" s="235"/>
      <c r="N181" s="240"/>
      <c r="O181" s="240"/>
      <c r="P181" s="240"/>
    </row>
    <row r="182" spans="5:16" ht="9.75">
      <c r="E182" s="234"/>
      <c r="F182" s="235"/>
      <c r="I182" s="236"/>
      <c r="J182" s="238"/>
      <c r="K182" s="234"/>
      <c r="L182" s="236"/>
      <c r="M182" s="235"/>
      <c r="N182" s="240"/>
      <c r="O182" s="240"/>
      <c r="P182" s="240"/>
    </row>
    <row r="183" spans="5:16" ht="9.75">
      <c r="E183" s="234"/>
      <c r="F183" s="235"/>
      <c r="I183" s="236"/>
      <c r="J183" s="238"/>
      <c r="K183" s="234"/>
      <c r="L183" s="236"/>
      <c r="M183" s="235"/>
      <c r="N183" s="240"/>
      <c r="O183" s="240"/>
      <c r="P183" s="240"/>
    </row>
    <row r="184" spans="5:16" ht="9.75">
      <c r="E184" s="234"/>
      <c r="F184" s="235"/>
      <c r="J184" s="238"/>
      <c r="K184" s="234"/>
      <c r="M184" s="235"/>
      <c r="N184" s="240"/>
      <c r="O184" s="240"/>
      <c r="P184" s="240"/>
    </row>
    <row r="185" spans="5:16" ht="9.75">
      <c r="E185" s="234"/>
      <c r="F185" s="235"/>
      <c r="I185" s="236"/>
      <c r="J185" s="238"/>
      <c r="K185" s="234"/>
      <c r="M185" s="235"/>
      <c r="N185" s="240"/>
      <c r="O185" s="240"/>
      <c r="P185" s="240"/>
    </row>
    <row r="186" spans="5:17" ht="9.75">
      <c r="E186" s="234"/>
      <c r="F186" s="235"/>
      <c r="I186" s="314"/>
      <c r="J186" s="238"/>
      <c r="K186" s="234"/>
      <c r="M186" s="235"/>
      <c r="N186" s="240"/>
      <c r="O186" s="240"/>
      <c r="P186" s="241"/>
      <c r="Q186" s="240"/>
    </row>
    <row r="187" spans="1:16" ht="9.75">
      <c r="A187" s="313"/>
      <c r="E187" s="234"/>
      <c r="F187" s="235"/>
      <c r="J187" s="238"/>
      <c r="K187" s="234"/>
      <c r="M187" s="235"/>
      <c r="N187" s="240"/>
      <c r="O187" s="240"/>
      <c r="P187" s="240"/>
    </row>
    <row r="188" spans="5:16" ht="9.75">
      <c r="E188" s="234"/>
      <c r="F188" s="235"/>
      <c r="J188" s="238"/>
      <c r="K188" s="234"/>
      <c r="M188" s="235"/>
      <c r="N188" s="240"/>
      <c r="O188" s="240"/>
      <c r="P188" s="240"/>
    </row>
    <row r="189" spans="5:16" ht="9.75">
      <c r="E189" s="234"/>
      <c r="F189" s="235"/>
      <c r="J189" s="238"/>
      <c r="K189" s="234"/>
      <c r="M189" s="235"/>
      <c r="N189" s="240"/>
      <c r="O189" s="240"/>
      <c r="P189" s="240"/>
    </row>
    <row r="190" spans="5:16" ht="9.75">
      <c r="E190" s="234"/>
      <c r="F190" s="235"/>
      <c r="J190" s="238"/>
      <c r="K190" s="234"/>
      <c r="M190" s="235"/>
      <c r="N190" s="240"/>
      <c r="O190" s="240"/>
      <c r="P190" s="240"/>
    </row>
    <row r="191" spans="5:16" ht="9.75">
      <c r="E191" s="234"/>
      <c r="F191" s="235"/>
      <c r="I191" s="236"/>
      <c r="J191" s="238"/>
      <c r="K191" s="234"/>
      <c r="L191" s="236"/>
      <c r="M191" s="235"/>
      <c r="N191" s="240"/>
      <c r="O191" s="240"/>
      <c r="P191" s="240"/>
    </row>
    <row r="192" spans="5:16" ht="9.75">
      <c r="E192" s="234"/>
      <c r="F192" s="235"/>
      <c r="I192" s="314"/>
      <c r="J192" s="238"/>
      <c r="K192" s="234"/>
      <c r="L192" s="236"/>
      <c r="M192" s="235"/>
      <c r="N192" s="240"/>
      <c r="O192" s="240"/>
      <c r="P192" s="240"/>
    </row>
    <row r="193" spans="5:16" ht="9.75">
      <c r="E193" s="234"/>
      <c r="F193" s="235"/>
      <c r="I193" s="236"/>
      <c r="J193" s="238"/>
      <c r="K193" s="234"/>
      <c r="L193" s="236"/>
      <c r="M193" s="235"/>
      <c r="N193" s="240"/>
      <c r="O193" s="240"/>
      <c r="P193" s="240"/>
    </row>
    <row r="194" spans="5:16" ht="9.75">
      <c r="E194" s="234"/>
      <c r="F194" s="235"/>
      <c r="I194" s="236"/>
      <c r="J194" s="238"/>
      <c r="K194" s="234"/>
      <c r="L194" s="236"/>
      <c r="M194" s="235"/>
      <c r="N194" s="240"/>
      <c r="O194" s="240"/>
      <c r="P194" s="240"/>
    </row>
    <row r="195" spans="5:16" ht="9.75">
      <c r="E195" s="234"/>
      <c r="F195" s="235"/>
      <c r="J195" s="238"/>
      <c r="K195" s="234"/>
      <c r="M195" s="235"/>
      <c r="N195" s="240"/>
      <c r="O195" s="240"/>
      <c r="P195" s="240"/>
    </row>
    <row r="196" spans="5:16" ht="9.75">
      <c r="E196" s="234"/>
      <c r="F196" s="235"/>
      <c r="J196" s="238"/>
      <c r="K196" s="234"/>
      <c r="M196" s="235"/>
      <c r="N196" s="240"/>
      <c r="O196" s="240"/>
      <c r="P196" s="240"/>
    </row>
    <row r="197" spans="5:16" ht="9.75">
      <c r="E197" s="234"/>
      <c r="F197" s="235"/>
      <c r="I197" s="236"/>
      <c r="J197" s="238"/>
      <c r="K197" s="234"/>
      <c r="M197" s="235"/>
      <c r="N197" s="240"/>
      <c r="O197" s="240"/>
      <c r="P197" s="240"/>
    </row>
    <row r="198" spans="5:16" ht="9.75">
      <c r="E198" s="234"/>
      <c r="F198" s="235"/>
      <c r="I198" s="236"/>
      <c r="J198" s="238"/>
      <c r="K198" s="234"/>
      <c r="M198" s="235"/>
      <c r="N198" s="240"/>
      <c r="O198" s="240"/>
      <c r="P198" s="240"/>
    </row>
    <row r="199" spans="5:16" ht="9.75">
      <c r="E199" s="234"/>
      <c r="F199" s="235"/>
      <c r="I199" s="236"/>
      <c r="J199" s="238"/>
      <c r="K199" s="234"/>
      <c r="M199" s="235"/>
      <c r="N199" s="240"/>
      <c r="O199" s="240"/>
      <c r="P199" s="240"/>
    </row>
    <row r="200" spans="5:16" ht="9.75">
      <c r="E200" s="234"/>
      <c r="F200" s="235"/>
      <c r="I200" s="236"/>
      <c r="J200" s="238"/>
      <c r="K200" s="234"/>
      <c r="L200" s="236"/>
      <c r="M200" s="235"/>
      <c r="N200" s="240"/>
      <c r="O200" s="240"/>
      <c r="P200" s="240"/>
    </row>
    <row r="201" spans="5:16" ht="9.75">
      <c r="E201" s="234"/>
      <c r="F201" s="235"/>
      <c r="I201" s="314"/>
      <c r="J201" s="238"/>
      <c r="K201" s="234"/>
      <c r="L201" s="236"/>
      <c r="M201" s="235"/>
      <c r="N201" s="240"/>
      <c r="O201" s="240"/>
      <c r="P201" s="240"/>
    </row>
    <row r="202" spans="5:16" ht="9.75">
      <c r="E202" s="234"/>
      <c r="F202" s="235"/>
      <c r="I202" s="236"/>
      <c r="J202" s="238"/>
      <c r="K202" s="234"/>
      <c r="L202" s="236"/>
      <c r="M202" s="235"/>
      <c r="N202" s="240"/>
      <c r="O202" s="240"/>
      <c r="P202" s="240"/>
    </row>
  </sheetData>
  <sheetProtection password="EB79" sheet="1" objects="1" scenarios="1" selectLockedCells="1"/>
  <printOptions/>
  <pageMargins left="0.51" right="0.5" top="0.25" bottom="0.25" header="0.5" footer="0.16"/>
  <pageSetup fitToHeight="1" fitToWidth="1"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NCSU-ARE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TestGrad</dc:creator>
  <cp:keywords/>
  <dc:description/>
  <cp:lastModifiedBy>baking</cp:lastModifiedBy>
  <cp:lastPrinted>2013-09-12T19:12:55Z</cp:lastPrinted>
  <dcterms:created xsi:type="dcterms:W3CDTF">2003-02-23T22:21:50Z</dcterms:created>
  <dcterms:modified xsi:type="dcterms:W3CDTF">2013-09-12T19:13:01Z</dcterms:modified>
  <cp:category/>
  <cp:version/>
  <cp:contentType/>
  <cp:contentStatus/>
</cp:coreProperties>
</file>