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4580" windowHeight="8295" activeTab="0"/>
  </bookViews>
  <sheets>
    <sheet name="HayStorageBudget" sheetId="1" r:id="rId1"/>
    <sheet name="Sheet2" sheetId="2" r:id="rId2"/>
    <sheet name="Sheet3" sheetId="3" r:id="rId3"/>
  </sheets>
  <definedNames>
    <definedName name="_xlnm.Print_Area" localSheetId="0">'HayStorageBudget'!$A$1:$O$84</definedName>
  </definedNames>
  <calcPr fullCalcOnLoad="1"/>
</workbook>
</file>

<file path=xl/sharedStrings.xml><?xml version="1.0" encoding="utf-8"?>
<sst xmlns="http://schemas.openxmlformats.org/spreadsheetml/2006/main" count="226" uniqueCount="131">
  <si>
    <t>Treatment</t>
  </si>
  <si>
    <t>Ground Uncovered</t>
  </si>
  <si>
    <t>Pallets Uncovered</t>
  </si>
  <si>
    <t>Ground Covered</t>
  </si>
  <si>
    <t>Pallets Covered</t>
  </si>
  <si>
    <t>Standing Hay</t>
  </si>
  <si>
    <t>Crop Cost</t>
  </si>
  <si>
    <t>$/ton DM</t>
  </si>
  <si>
    <t>Haymaking</t>
  </si>
  <si>
    <t>Cost</t>
  </si>
  <si>
    <t>Hay cost</t>
  </si>
  <si>
    <t>in field</t>
  </si>
  <si>
    <t xml:space="preserve">Storage </t>
  </si>
  <si>
    <t>Facility</t>
  </si>
  <si>
    <t>$/sq ft</t>
  </si>
  <si>
    <t>Area</t>
  </si>
  <si>
    <t>Needed</t>
  </si>
  <si>
    <t>Storage</t>
  </si>
  <si>
    <t>Facility Cost</t>
  </si>
  <si>
    <t>Sq. ft./ton DM</t>
  </si>
  <si>
    <t>Equipment</t>
  </si>
  <si>
    <t xml:space="preserve">to Move </t>
  </si>
  <si>
    <t xml:space="preserve">Labor </t>
  </si>
  <si>
    <t>$/hour</t>
  </si>
  <si>
    <t>Hay Cost</t>
  </si>
  <si>
    <t>in Storage</t>
  </si>
  <si>
    <t>%</t>
  </si>
  <si>
    <t xml:space="preserve">Usable </t>
  </si>
  <si>
    <t>http://www.recycle.net/exchange/</t>
  </si>
  <si>
    <t>hours</t>
  </si>
  <si>
    <t>Calculated</t>
  </si>
  <si>
    <t>8-month storage</t>
  </si>
  <si>
    <t>14-month storage</t>
  </si>
  <si>
    <t>Storage Area</t>
  </si>
  <si>
    <t xml:space="preserve">Adjusted hay making cost cost </t>
  </si>
  <si>
    <t>incl</t>
  </si>
  <si>
    <t>--Added time to move and stack hay in barn</t>
  </si>
  <si>
    <t>hours/ton DM</t>
  </si>
  <si>
    <t>Total</t>
  </si>
  <si>
    <t>--Pallet, set up labor</t>
  </si>
  <si>
    <t>hours/sq ft</t>
  </si>
  <si>
    <t>Estimated by authors.  Includes travel time.  30 min for 2 people for a 20 ton stack.</t>
  </si>
  <si>
    <t>Move/Cover</t>
  </si>
  <si>
    <t>Additional cost of wrap compared to twine, material only</t>
  </si>
  <si>
    <t>per ton of DM</t>
  </si>
  <si>
    <t>per sq. foot</t>
  </si>
  <si>
    <t>Cover</t>
  </si>
  <si>
    <t>--</t>
  </si>
  <si>
    <t>INPUT DATA AND EXPLANATORY NOTES</t>
  </si>
  <si>
    <t>ITEM</t>
  </si>
  <si>
    <t>COST/UNIT</t>
  </si>
  <si>
    <t>UNIT</t>
  </si>
  <si>
    <t>COMMENTS</t>
  </si>
  <si>
    <t xml:space="preserve">Estimated by authors as wrap cost of $0.73 per bale *2.9 bales/ton. </t>
  </si>
  <si>
    <t>--Site prep for ground storage: time per sq ft</t>
  </si>
  <si>
    <t>--Site prep for ground storage: equipment &amp; labor cost per sq ft.</t>
  </si>
  <si>
    <t>--Tarpaulin, labor to set the cover</t>
  </si>
  <si>
    <t>Bale width, nominal</t>
  </si>
  <si>
    <t>Bale diameter, nominal</t>
  </si>
  <si>
    <t>feet</t>
  </si>
  <si>
    <t>square feet</t>
  </si>
  <si>
    <t>--Useful life of structure (physical, economic or planning horizon)</t>
  </si>
  <si>
    <t>--Tax and insurance, $ per year</t>
  </si>
  <si>
    <t>--Salvage value at end of useful Life, if any, $</t>
  </si>
  <si>
    <t>--Interest charge, average, $ per year</t>
  </si>
  <si>
    <t>--Interest rate on investment, % per year</t>
  </si>
  <si>
    <t>--Tax and insurance rate, % per year</t>
  </si>
  <si>
    <t>--Total barn ownership cost, $ per square foot per year</t>
  </si>
  <si>
    <t xml:space="preserve">--Hay Barn, investment cost </t>
  </si>
  <si>
    <t>years</t>
  </si>
  <si>
    <t>--Depreciation charge, average, $ per year</t>
  </si>
  <si>
    <t>$ per hour</t>
  </si>
  <si>
    <t>$ per ton DM</t>
  </si>
  <si>
    <t>Estimated by authors at twice the amount in the NCSU hay budget</t>
  </si>
  <si>
    <t>Calculated as width X diameter X (1 + (Allowance/100))</t>
  </si>
  <si>
    <t>Average bale weight, lb of dry matter</t>
  </si>
  <si>
    <t>lb of DM</t>
  </si>
  <si>
    <t>Stacked in a pyramid of three bales at the base = half of the single bale footprint</t>
  </si>
  <si>
    <t xml:space="preserve">--Tarpaulin area, square feet per bale </t>
  </si>
  <si>
    <t>Estimated by the authors</t>
  </si>
  <si>
    <t xml:space="preserve">Barn storage: </t>
  </si>
  <si>
    <t>--Total cost of pallet</t>
  </si>
  <si>
    <t xml:space="preserve">Wage rate used in NCSU budgets.  Source: "Farm Labor," NASS, USDA, Nov. 2006 </t>
  </si>
  <si>
    <t xml:space="preserve">Appalachian 1 Region, Field and Livestock Workers, hourly wage of $8.90. </t>
  </si>
  <si>
    <t xml:space="preserve"> Add Labor to</t>
  </si>
  <si>
    <t>Add Labor to</t>
  </si>
  <si>
    <t>Calculated on the average investment</t>
  </si>
  <si>
    <t xml:space="preserve">Calculated </t>
  </si>
  <si>
    <t>Used with ground storage and barn storage</t>
  </si>
  <si>
    <t>Used with ground storage</t>
  </si>
  <si>
    <t>Ground storage "facilities:"</t>
  </si>
  <si>
    <t>Bale Cover:</t>
  </si>
  <si>
    <t>--Tarpaulin</t>
  </si>
  <si>
    <t>Allowance for gaps and settling, % of nominal bale footprint</t>
  </si>
  <si>
    <t>Effective bale "footprint" for storage costs</t>
  </si>
  <si>
    <t>--Site prep area, sq ft</t>
  </si>
  <si>
    <t>--Time to prepare site, including travel time to site, hours</t>
  </si>
  <si>
    <t xml:space="preserve">--Site prep equipment cost, ownership &amp; operating </t>
  </si>
  <si>
    <t xml:space="preserve">Estimated by authors based on 60 min for a 1200 sq ft. site, including travel time to site. </t>
  </si>
  <si>
    <t xml:space="preserve">--Pallet, used, </t>
  </si>
  <si>
    <t>$5 each at farm, used for two hay crops. Data from</t>
  </si>
  <si>
    <t>8 cents/sq ft., used for two hay crops.  Source: various web sites</t>
  </si>
  <si>
    <t xml:space="preserve">--Ground area, average square feet per stacked bale </t>
  </si>
  <si>
    <t>Bushog + tractor. Full economic cost taken from NCSU forage budget 87-2, tables 1 and 2.</t>
  </si>
  <si>
    <t>Estimated by authors at 45 min/1200 sq. ft. site area.  Includes travel and equipment set up time.</t>
  </si>
  <si>
    <t>One percent of the new cost per year</t>
  </si>
  <si>
    <t>--Total barn ownership and maintenance cost, $ per square foot per year</t>
  </si>
  <si>
    <t>--Barn maintenance cost, $ per year</t>
  </si>
  <si>
    <t>$/sq. foot</t>
  </si>
  <si>
    <t>$/sq. ft</t>
  </si>
  <si>
    <t>--Barn maintenance cost, annual, % of initial cost</t>
  </si>
  <si>
    <t>--Added equipment cost to transport hay to barn, $ per ton of DM</t>
  </si>
  <si>
    <t>Wage rate for all labor, hired or family, $/hour</t>
  </si>
  <si>
    <t>Pro-rated cost per ton of dry matter</t>
  </si>
  <si>
    <t>ENTERPRISE COST ESTIMATES</t>
  </si>
  <si>
    <t>Budget 84-8</t>
  </si>
  <si>
    <t>Pallet storage:</t>
  </si>
  <si>
    <r>
      <t>Losses</t>
    </r>
    <r>
      <rPr>
        <vertAlign val="superscript"/>
        <sz val="11"/>
        <rFont val="Arial"/>
        <family val="2"/>
      </rPr>
      <t>a</t>
    </r>
  </si>
  <si>
    <t>Haymaking cost (Example from NCSU budget 84-2)</t>
  </si>
  <si>
    <t>Enter your own data in the highlighted cells.</t>
  </si>
  <si>
    <t>under alternative hay storage systems.   Loading out or feeding out costs are not included.</t>
  </si>
  <si>
    <r>
      <t>Hay Cost</t>
    </r>
    <r>
      <rPr>
        <vertAlign val="superscript"/>
        <sz val="11"/>
        <rFont val="Arial"/>
        <family val="2"/>
      </rPr>
      <t>b</t>
    </r>
  </si>
  <si>
    <r>
      <t>Barn (cost for 12 mo.)</t>
    </r>
    <r>
      <rPr>
        <vertAlign val="superscript"/>
        <sz val="11"/>
        <rFont val="Arial"/>
        <family val="2"/>
      </rPr>
      <t>c</t>
    </r>
  </si>
  <si>
    <r>
      <t>Barn (cost for 18 mo.)</t>
    </r>
    <r>
      <rPr>
        <vertAlign val="superscript"/>
        <sz val="11"/>
        <rFont val="Arial"/>
        <family val="2"/>
      </rPr>
      <t>c</t>
    </r>
  </si>
  <si>
    <t xml:space="preserve">per one ton of usable hay on a dry matter basis (approximately 1.2 tons of hay at 85% dry matter)        </t>
  </si>
  <si>
    <r>
      <t>Hay Production, Harvest and Storage Costs, Round Bales:</t>
    </r>
    <r>
      <rPr>
        <sz val="12"/>
        <rFont val="Arial"/>
        <family val="2"/>
      </rPr>
      <t xml:space="preserve">  Estimated annual operating and fixed cost</t>
    </r>
  </si>
  <si>
    <t>Pasture cost (Example from NCSU forage budget 87-1)</t>
  </si>
  <si>
    <r>
      <t>a</t>
    </r>
    <r>
      <rPr>
        <sz val="11"/>
        <rFont val="Arial"/>
        <family val="0"/>
      </rPr>
      <t xml:space="preserve"> Losses include shrinkage and spoilage of the outside layer of the bale.  Examples given are based on research results from the Mountain Research Station, NC.</t>
    </r>
  </si>
  <si>
    <r>
      <t>b</t>
    </r>
    <r>
      <rPr>
        <sz val="11"/>
        <rFont val="Arial"/>
        <family val="0"/>
      </rPr>
      <t xml:space="preserve">  To convert dry matter cost to actual cost per ton of hay multiply the DM cost shown in the table by the dry matter content of the hay. E.g., $186.37 X 0.85 = $158.41/ton of hay.</t>
    </r>
  </si>
  <si>
    <t xml:space="preserve">Estimated new cost by authors.  14-month storage incurs a 1.5 year charge. </t>
  </si>
  <si>
    <r>
      <t>c</t>
    </r>
    <r>
      <rPr>
        <sz val="11"/>
        <rFont val="Arial"/>
        <family val="0"/>
      </rPr>
      <t xml:space="preserve">  Include variable costs for barn maintenance.  Add either total fixed cost for a new structure or alternative use value for an existing barn.  Pro-rate cost if barn is also used for other purposes.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</si>
</sst>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#,##0.0000"/>
    <numFmt numFmtId="167" formatCode="0.0%"/>
    <numFmt numFmtId="168" formatCode="&quot;$&quot;#,##0.0000"/>
    <numFmt numFmtId="169" formatCode="&quot;$&quot;#,##0.000"/>
    <numFmt numFmtId="170" formatCode="#,##0.0"/>
    <numFmt numFmtId="171" formatCode="#,##0.00000"/>
    <numFmt numFmtId="172" formatCode="0.000"/>
    <numFmt numFmtId="173" formatCode="[$-409]mmmm\-yy;@"/>
  </numFmts>
  <fonts count="26">
    <font>
      <sz val="11"/>
      <name val="Arial"/>
      <family val="0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53" applyAlignment="1" applyProtection="1">
      <alignment/>
      <protection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24" borderId="0" xfId="0" applyFill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3" xfId="0" applyNumberFormat="1" applyFill="1" applyBorder="1" applyAlignment="1" quotePrefix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 quotePrefix="1">
      <alignment/>
    </xf>
    <xf numFmtId="0" fontId="1" fillId="0" borderId="30" xfId="53" applyBorder="1" applyAlignment="1" applyProtection="1">
      <alignment/>
      <protection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/>
    </xf>
    <xf numFmtId="169" fontId="0" fillId="0" borderId="10" xfId="0" applyNumberFormat="1" applyFill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0" xfId="53" applyFont="1" applyAlignment="1" applyProtection="1">
      <alignment/>
      <protection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0" fontId="0" fillId="0" borderId="0" xfId="0" applyNumberFormat="1" applyAlignment="1">
      <alignment horizontal="center"/>
    </xf>
    <xf numFmtId="10" fontId="0" fillId="0" borderId="17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171" fontId="0" fillId="0" borderId="10" xfId="0" applyNumberFormat="1" applyFill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11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8" fillId="24" borderId="0" xfId="0" applyFont="1" applyFill="1" applyAlignment="1" applyProtection="1">
      <alignment/>
      <protection locked="0"/>
    </xf>
    <xf numFmtId="173" fontId="0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5" fillId="24" borderId="0" xfId="53" applyFont="1" applyFill="1" applyAlignment="1" applyProtection="1">
      <alignment/>
      <protection/>
    </xf>
    <xf numFmtId="0" fontId="0" fillId="22" borderId="0" xfId="0" applyFill="1" applyAlignment="1">
      <alignment/>
    </xf>
    <xf numFmtId="0" fontId="7" fillId="0" borderId="0" xfId="0" applyFont="1" applyFill="1" applyAlignment="1">
      <alignment/>
    </xf>
    <xf numFmtId="0" fontId="0" fillId="24" borderId="0" xfId="0" applyFill="1" applyAlignment="1" applyProtection="1">
      <alignment/>
      <protection locked="0"/>
    </xf>
    <xf numFmtId="164" fontId="0" fillId="24" borderId="10" xfId="0" applyNumberFormat="1" applyFill="1" applyBorder="1" applyAlignment="1" applyProtection="1">
      <alignment horizontal="center"/>
      <protection locked="0"/>
    </xf>
    <xf numFmtId="0" fontId="0" fillId="24" borderId="30" xfId="0" applyFill="1" applyBorder="1" applyAlignment="1" applyProtection="1">
      <alignment/>
      <protection locked="0"/>
    </xf>
    <xf numFmtId="3" fontId="0" fillId="24" borderId="10" xfId="0" applyNumberFormat="1" applyFill="1" applyBorder="1" applyAlignment="1" applyProtection="1">
      <alignment horizontal="center"/>
      <protection locked="0"/>
    </xf>
    <xf numFmtId="170" fontId="0" fillId="24" borderId="10" xfId="0" applyNumberFormat="1" applyFill="1" applyBorder="1" applyAlignment="1" applyProtection="1">
      <alignment horizontal="center"/>
      <protection locked="0"/>
    </xf>
    <xf numFmtId="9" fontId="0" fillId="24" borderId="10" xfId="0" applyNumberFormat="1" applyFill="1" applyBorder="1" applyAlignment="1" applyProtection="1">
      <alignment horizontal="center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0" xfId="0" applyFill="1" applyAlignment="1" applyProtection="1">
      <alignment/>
      <protection locked="0"/>
    </xf>
    <xf numFmtId="0" fontId="0" fillId="24" borderId="30" xfId="0" applyFill="1" applyBorder="1" applyAlignment="1" applyProtection="1">
      <alignment/>
      <protection locked="0"/>
    </xf>
    <xf numFmtId="169" fontId="0" fillId="24" borderId="10" xfId="0" applyNumberFormat="1" applyFill="1" applyBorder="1" applyAlignment="1" applyProtection="1">
      <alignment horizontal="center"/>
      <protection locked="0"/>
    </xf>
    <xf numFmtId="171" fontId="0" fillId="24" borderId="10" xfId="0" applyNumberFormat="1" applyFill="1" applyBorder="1" applyAlignment="1" applyProtection="1">
      <alignment horizontal="center"/>
      <protection locked="0"/>
    </xf>
    <xf numFmtId="165" fontId="0" fillId="24" borderId="10" xfId="0" applyNumberFormat="1" applyFill="1" applyBorder="1" applyAlignment="1" applyProtection="1">
      <alignment horizontal="center"/>
      <protection locked="0"/>
    </xf>
    <xf numFmtId="4" fontId="0" fillId="4" borderId="10" xfId="0" applyNumberFormat="1" applyFill="1" applyBorder="1" applyAlignment="1" applyProtection="1">
      <alignment horizontal="center"/>
      <protection locked="0"/>
    </xf>
    <xf numFmtId="4" fontId="0" fillId="24" borderId="10" xfId="0" applyNumberFormat="1" applyFill="1" applyBorder="1" applyAlignment="1" applyProtection="1">
      <alignment horizontal="center"/>
      <protection locked="0"/>
    </xf>
    <xf numFmtId="167" fontId="0" fillId="24" borderId="10" xfId="0" applyNumberFormat="1" applyFill="1" applyBorder="1" applyAlignment="1" applyProtection="1">
      <alignment horizontal="center"/>
      <protection locked="0"/>
    </xf>
    <xf numFmtId="164" fontId="0" fillId="24" borderId="34" xfId="0" applyNumberForma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29" xfId="0" applyFill="1" applyBorder="1" applyAlignment="1" applyProtection="1">
      <alignment/>
      <protection locked="0"/>
    </xf>
    <xf numFmtId="0" fontId="3" fillId="24" borderId="0" xfId="0" applyFont="1" applyFill="1" applyAlignment="1" applyProtection="1">
      <alignment/>
      <protection locked="0"/>
    </xf>
    <xf numFmtId="0" fontId="0" fillId="24" borderId="33" xfId="0" applyFill="1" applyBorder="1" applyAlignment="1" applyProtection="1">
      <alignment/>
      <protection locked="0"/>
    </xf>
    <xf numFmtId="167" fontId="0" fillId="24" borderId="16" xfId="0" applyNumberFormat="1" applyFill="1" applyBorder="1" applyAlignment="1" applyProtection="1">
      <alignment horizontal="center"/>
      <protection locked="0"/>
    </xf>
    <xf numFmtId="167" fontId="0" fillId="24" borderId="21" xfId="0" applyNumberFormat="1" applyFill="1" applyBorder="1" applyAlignment="1" applyProtection="1">
      <alignment horizontal="center"/>
      <protection locked="0"/>
    </xf>
    <xf numFmtId="0" fontId="9" fillId="24" borderId="0" xfId="53" applyFont="1" applyFill="1" applyAlignment="1" applyProtection="1">
      <alignment/>
      <protection locked="0"/>
    </xf>
    <xf numFmtId="0" fontId="10" fillId="24" borderId="0" xfId="53" applyFont="1" applyFill="1" applyAlignment="1" applyProtection="1">
      <alignment/>
      <protection/>
    </xf>
    <xf numFmtId="0" fontId="0" fillId="0" borderId="35" xfId="0" applyBorder="1" applyAlignment="1">
      <alignment/>
    </xf>
    <xf numFmtId="14" fontId="0" fillId="0" borderId="35" xfId="0" applyNumberFormat="1" applyFill="1" applyBorder="1" applyAlignment="1">
      <alignment/>
    </xf>
    <xf numFmtId="0" fontId="0" fillId="0" borderId="35" xfId="0" applyBorder="1" applyAlignment="1">
      <alignment horizontal="center"/>
    </xf>
    <xf numFmtId="0" fontId="4" fillId="0" borderId="35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76200</xdr:colOff>
      <xdr:row>0</xdr:row>
      <xdr:rowOff>295275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62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2</xdr:col>
      <xdr:colOff>142875</xdr:colOff>
      <xdr:row>51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0"/>
          <a:ext cx="26289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ycle.net/exchang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="67" zoomScaleNormal="67" zoomScalePageLayoutView="0" workbookViewId="0" topLeftCell="A1">
      <selection activeCell="A3" sqref="A3"/>
    </sheetView>
  </sheetViews>
  <sheetFormatPr defaultColWidth="9.00390625" defaultRowHeight="14.25"/>
  <cols>
    <col min="1" max="1" width="20.125" style="0" customWidth="1"/>
    <col min="2" max="2" width="12.50390625" style="0" customWidth="1"/>
    <col min="3" max="4" width="10.50390625" style="0" customWidth="1"/>
    <col min="5" max="5" width="9.25390625" style="0" customWidth="1"/>
    <col min="6" max="6" width="11.625" style="0" customWidth="1"/>
    <col min="7" max="7" width="13.125" style="0" customWidth="1"/>
    <col min="8" max="8" width="10.875" style="0" customWidth="1"/>
    <col min="9" max="9" width="8.625" style="0" customWidth="1"/>
    <col min="10" max="11" width="11.25390625" style="0" customWidth="1"/>
    <col min="12" max="12" width="10.25390625" style="1" customWidth="1"/>
    <col min="13" max="13" width="9.625" style="1" customWidth="1"/>
    <col min="14" max="14" width="11.50390625" style="0" customWidth="1"/>
    <col min="15" max="15" width="9.25390625" style="0" customWidth="1"/>
  </cols>
  <sheetData>
    <row r="1" spans="1:14" ht="24" customHeight="1">
      <c r="A1" s="112"/>
      <c r="B1" s="112"/>
      <c r="C1" s="112"/>
      <c r="D1" s="112"/>
      <c r="E1" s="112"/>
      <c r="F1" s="113"/>
      <c r="G1" s="112"/>
      <c r="H1" s="112"/>
      <c r="I1" s="112"/>
      <c r="J1" s="112"/>
      <c r="K1" s="112"/>
      <c r="L1" s="114"/>
      <c r="M1" s="114"/>
      <c r="N1" s="112"/>
    </row>
    <row r="2" spans="1:14" ht="18.75" customHeight="1">
      <c r="A2" s="87" t="s">
        <v>125</v>
      </c>
      <c r="B2" s="84"/>
      <c r="C2" s="84"/>
      <c r="D2" s="84"/>
      <c r="E2" s="84"/>
      <c r="F2" s="84"/>
      <c r="G2" s="84"/>
      <c r="H2" s="84"/>
      <c r="N2" s="79" t="s">
        <v>115</v>
      </c>
    </row>
    <row r="3" spans="1:14" ht="15" customHeight="1">
      <c r="A3" s="80" t="s">
        <v>124</v>
      </c>
      <c r="B3" s="88"/>
      <c r="C3" s="88"/>
      <c r="D3" s="88"/>
      <c r="E3" s="88"/>
      <c r="F3" s="88"/>
      <c r="G3" s="88"/>
      <c r="H3" s="88"/>
      <c r="N3" s="81">
        <v>39630</v>
      </c>
    </row>
    <row r="4" spans="1:8" ht="15">
      <c r="A4" s="110" t="s">
        <v>120</v>
      </c>
      <c r="B4" s="88"/>
      <c r="C4" s="88"/>
      <c r="D4" s="88"/>
      <c r="E4" s="88"/>
      <c r="F4" s="88"/>
      <c r="G4" s="88"/>
      <c r="H4" s="88"/>
    </row>
    <row r="5" spans="1:8" ht="15.75">
      <c r="A5" s="111" t="s">
        <v>119</v>
      </c>
      <c r="B5" s="27"/>
      <c r="C5" s="27"/>
      <c r="D5" s="86"/>
      <c r="E5" s="84"/>
      <c r="F5" s="84"/>
      <c r="G5" s="84"/>
      <c r="H5" s="84"/>
    </row>
    <row r="6" ht="8.25" customHeight="1">
      <c r="A6" s="2"/>
    </row>
    <row r="7" ht="15">
      <c r="A7" s="3" t="s">
        <v>48</v>
      </c>
    </row>
    <row r="8" spans="1:15" ht="15">
      <c r="A8" s="32" t="s">
        <v>49</v>
      </c>
      <c r="B8" s="33"/>
      <c r="C8" s="33"/>
      <c r="D8" s="33"/>
      <c r="E8" s="33"/>
      <c r="F8" s="44" t="s">
        <v>50</v>
      </c>
      <c r="G8" s="44" t="s">
        <v>51</v>
      </c>
      <c r="H8" s="34" t="s">
        <v>52</v>
      </c>
      <c r="I8" s="33"/>
      <c r="J8" s="33"/>
      <c r="K8" s="33"/>
      <c r="L8" s="35"/>
      <c r="M8" s="35"/>
      <c r="N8" s="33"/>
      <c r="O8" s="36"/>
    </row>
    <row r="9" spans="1:15" ht="14.25">
      <c r="A9" s="9" t="s">
        <v>126</v>
      </c>
      <c r="B9" s="46"/>
      <c r="C9" s="46"/>
      <c r="D9" s="46"/>
      <c r="E9" s="46"/>
      <c r="F9" s="89">
        <v>64.27</v>
      </c>
      <c r="G9" s="53" t="s">
        <v>44</v>
      </c>
      <c r="H9" s="90" t="s">
        <v>113</v>
      </c>
      <c r="I9" s="46"/>
      <c r="J9" s="46"/>
      <c r="K9" s="46"/>
      <c r="L9" s="46"/>
      <c r="M9" s="47"/>
      <c r="N9" s="47"/>
      <c r="O9" s="48"/>
    </row>
    <row r="10" spans="1:15" ht="14.25">
      <c r="A10" s="9" t="s">
        <v>118</v>
      </c>
      <c r="B10" s="46"/>
      <c r="C10" s="46"/>
      <c r="D10" s="46"/>
      <c r="E10" s="46"/>
      <c r="F10" s="89">
        <v>77.85</v>
      </c>
      <c r="G10" s="53" t="s">
        <v>44</v>
      </c>
      <c r="H10" s="90"/>
      <c r="I10" s="46"/>
      <c r="J10" s="46"/>
      <c r="K10" s="46"/>
      <c r="L10" s="46"/>
      <c r="M10" s="47"/>
      <c r="N10" s="47"/>
      <c r="O10" s="48"/>
    </row>
    <row r="11" spans="1:15" ht="14.25">
      <c r="A11" s="9" t="s">
        <v>43</v>
      </c>
      <c r="B11" s="46"/>
      <c r="C11" s="46"/>
      <c r="D11" s="46"/>
      <c r="E11" s="46"/>
      <c r="F11" s="89">
        <f>2.12-1.27</f>
        <v>0.8500000000000001</v>
      </c>
      <c r="G11" s="53" t="s">
        <v>44</v>
      </c>
      <c r="H11" s="90" t="s">
        <v>53</v>
      </c>
      <c r="I11" s="46"/>
      <c r="J11" s="46"/>
      <c r="K11" s="46"/>
      <c r="L11" s="46"/>
      <c r="M11" s="47"/>
      <c r="N11" s="47"/>
      <c r="O11" s="48"/>
    </row>
    <row r="12" spans="1:15" ht="14.25">
      <c r="A12" s="9" t="s">
        <v>34</v>
      </c>
      <c r="B12" s="46"/>
      <c r="C12" s="46"/>
      <c r="D12" s="46"/>
      <c r="E12" s="46"/>
      <c r="F12" s="6">
        <f>F10+F11</f>
        <v>78.69999999999999</v>
      </c>
      <c r="G12" s="53" t="s">
        <v>44</v>
      </c>
      <c r="H12" s="54" t="s">
        <v>87</v>
      </c>
      <c r="I12" s="46"/>
      <c r="J12" s="46"/>
      <c r="K12" s="46"/>
      <c r="L12" s="46"/>
      <c r="M12" s="47"/>
      <c r="N12" s="47"/>
      <c r="O12" s="48"/>
    </row>
    <row r="13" spans="1:15" ht="14.25">
      <c r="A13" s="9" t="s">
        <v>75</v>
      </c>
      <c r="B13" s="46"/>
      <c r="C13" s="46"/>
      <c r="D13" s="46"/>
      <c r="E13" s="46"/>
      <c r="F13" s="91">
        <v>688</v>
      </c>
      <c r="G13" s="53" t="s">
        <v>76</v>
      </c>
      <c r="H13" s="90"/>
      <c r="I13" s="46"/>
      <c r="J13" s="46"/>
      <c r="K13" s="46"/>
      <c r="L13" s="46"/>
      <c r="M13" s="47"/>
      <c r="N13" s="47"/>
      <c r="O13" s="48"/>
    </row>
    <row r="14" spans="1:15" ht="14.25">
      <c r="A14" s="9" t="s">
        <v>57</v>
      </c>
      <c r="B14" s="46"/>
      <c r="C14" s="46"/>
      <c r="D14" s="46"/>
      <c r="E14" s="46"/>
      <c r="F14" s="92">
        <v>5</v>
      </c>
      <c r="G14" s="53" t="s">
        <v>59</v>
      </c>
      <c r="H14" s="90"/>
      <c r="I14" s="46"/>
      <c r="J14" s="46"/>
      <c r="K14" s="46"/>
      <c r="L14" s="46"/>
      <c r="M14" s="47"/>
      <c r="N14" s="47"/>
      <c r="O14" s="48"/>
    </row>
    <row r="15" spans="1:15" ht="14.25">
      <c r="A15" s="9" t="s">
        <v>58</v>
      </c>
      <c r="B15" s="46"/>
      <c r="C15" s="46"/>
      <c r="D15" s="46"/>
      <c r="E15" s="46"/>
      <c r="F15" s="92">
        <v>4</v>
      </c>
      <c r="G15" s="53" t="s">
        <v>59</v>
      </c>
      <c r="H15" s="90"/>
      <c r="I15" s="46"/>
      <c r="J15" s="46"/>
      <c r="K15" s="46"/>
      <c r="L15" s="46"/>
      <c r="M15" s="47"/>
      <c r="N15" s="47"/>
      <c r="O15" s="48"/>
    </row>
    <row r="16" spans="1:15" ht="14.25">
      <c r="A16" s="9" t="s">
        <v>93</v>
      </c>
      <c r="B16" s="46"/>
      <c r="C16" s="46"/>
      <c r="D16" s="46"/>
      <c r="E16" s="46"/>
      <c r="F16" s="93">
        <v>0.1</v>
      </c>
      <c r="G16" s="53" t="s">
        <v>26</v>
      </c>
      <c r="H16" s="90"/>
      <c r="I16" s="46"/>
      <c r="J16" s="46"/>
      <c r="K16" s="46"/>
      <c r="L16" s="46"/>
      <c r="M16" s="47"/>
      <c r="N16" s="47"/>
      <c r="O16" s="48"/>
    </row>
    <row r="17" spans="1:15" ht="14.25">
      <c r="A17" s="9" t="s">
        <v>94</v>
      </c>
      <c r="B17" s="46"/>
      <c r="C17" s="46"/>
      <c r="D17" s="46"/>
      <c r="E17" s="46"/>
      <c r="F17" s="51">
        <f>F14*F15*(1+F16)</f>
        <v>22</v>
      </c>
      <c r="G17" s="53" t="s">
        <v>60</v>
      </c>
      <c r="H17" s="54" t="s">
        <v>74</v>
      </c>
      <c r="I17" s="46"/>
      <c r="J17" s="46"/>
      <c r="K17" s="46"/>
      <c r="L17" s="46"/>
      <c r="M17" s="47"/>
      <c r="N17" s="47"/>
      <c r="O17" s="48"/>
    </row>
    <row r="18" spans="1:15" ht="14.25">
      <c r="A18" s="9" t="s">
        <v>90</v>
      </c>
      <c r="B18" s="46"/>
      <c r="C18" s="46"/>
      <c r="D18" s="46"/>
      <c r="E18" s="46"/>
      <c r="F18" s="6"/>
      <c r="G18" s="53"/>
      <c r="H18" s="54"/>
      <c r="I18" s="46"/>
      <c r="J18" s="46"/>
      <c r="K18" s="46"/>
      <c r="L18" s="46"/>
      <c r="M18" s="47"/>
      <c r="N18" s="47"/>
      <c r="O18" s="48"/>
    </row>
    <row r="19" spans="1:15" ht="14.25">
      <c r="A19" s="49" t="s">
        <v>95</v>
      </c>
      <c r="B19" s="46"/>
      <c r="C19" s="46"/>
      <c r="D19" s="46"/>
      <c r="E19" s="46"/>
      <c r="F19" s="91">
        <v>1200</v>
      </c>
      <c r="G19" s="53" t="s">
        <v>60</v>
      </c>
      <c r="H19" s="90" t="s">
        <v>104</v>
      </c>
      <c r="I19" s="46"/>
      <c r="J19" s="46"/>
      <c r="K19" s="46"/>
      <c r="L19" s="46"/>
      <c r="M19" s="47"/>
      <c r="N19" s="47"/>
      <c r="O19" s="48"/>
    </row>
    <row r="20" spans="1:15" ht="14.25">
      <c r="A20" s="49" t="s">
        <v>96</v>
      </c>
      <c r="F20" s="94">
        <v>0.75</v>
      </c>
      <c r="G20" s="53" t="s">
        <v>29</v>
      </c>
      <c r="H20" s="95"/>
      <c r="O20" s="48"/>
    </row>
    <row r="21" spans="1:15" ht="14.25">
      <c r="A21" s="49" t="s">
        <v>97</v>
      </c>
      <c r="B21" s="46"/>
      <c r="C21" s="46"/>
      <c r="D21" s="46"/>
      <c r="E21" s="46"/>
      <c r="F21" s="89">
        <v>18</v>
      </c>
      <c r="G21" s="53" t="s">
        <v>71</v>
      </c>
      <c r="H21" s="90" t="s">
        <v>103</v>
      </c>
      <c r="I21" s="46"/>
      <c r="J21" s="46"/>
      <c r="K21" s="46"/>
      <c r="L21" s="46"/>
      <c r="M21" s="47"/>
      <c r="N21" s="47"/>
      <c r="O21" s="48"/>
    </row>
    <row r="22" spans="1:15" ht="14.25">
      <c r="A22" s="49" t="s">
        <v>54</v>
      </c>
      <c r="B22" s="46"/>
      <c r="C22" s="46"/>
      <c r="D22" s="46"/>
      <c r="E22" s="46"/>
      <c r="F22" s="66">
        <f>F20/F19</f>
        <v>0.000625</v>
      </c>
      <c r="G22" s="53" t="s">
        <v>40</v>
      </c>
      <c r="H22" s="54" t="s">
        <v>30</v>
      </c>
      <c r="I22" s="46"/>
      <c r="J22" s="46"/>
      <c r="K22" s="46"/>
      <c r="L22" s="46"/>
      <c r="M22" s="47"/>
      <c r="N22" s="47"/>
      <c r="O22" s="48"/>
    </row>
    <row r="23" spans="1:15" ht="14.25">
      <c r="A23" s="49" t="s">
        <v>55</v>
      </c>
      <c r="B23" s="46"/>
      <c r="C23" s="46"/>
      <c r="D23" s="46"/>
      <c r="E23" s="46"/>
      <c r="F23" s="55">
        <f>(F21*F22)+(F22*F49)</f>
        <v>0.017125</v>
      </c>
      <c r="G23" s="53" t="s">
        <v>14</v>
      </c>
      <c r="H23" s="54" t="s">
        <v>30</v>
      </c>
      <c r="I23" s="46"/>
      <c r="J23" s="46"/>
      <c r="K23" s="46"/>
      <c r="L23" s="46"/>
      <c r="M23" s="47"/>
      <c r="N23" s="47"/>
      <c r="O23" s="48"/>
    </row>
    <row r="24" spans="1:15" ht="14.25">
      <c r="A24" s="9" t="s">
        <v>116</v>
      </c>
      <c r="B24" s="46"/>
      <c r="C24" s="46"/>
      <c r="D24" s="46"/>
      <c r="E24" s="46"/>
      <c r="F24" s="6"/>
      <c r="G24" s="53"/>
      <c r="H24" s="96" t="s">
        <v>88</v>
      </c>
      <c r="I24" s="46"/>
      <c r="J24" s="46"/>
      <c r="K24" s="46"/>
      <c r="L24" s="46"/>
      <c r="M24" s="47"/>
      <c r="N24" s="47"/>
      <c r="O24" s="48"/>
    </row>
    <row r="25" spans="1:15" ht="14.25">
      <c r="A25" s="49" t="s">
        <v>99</v>
      </c>
      <c r="B25" s="46"/>
      <c r="C25" s="46"/>
      <c r="D25" s="46"/>
      <c r="E25" s="46"/>
      <c r="F25" s="97">
        <v>0.15</v>
      </c>
      <c r="G25" s="53" t="s">
        <v>14</v>
      </c>
      <c r="H25" s="90" t="s">
        <v>100</v>
      </c>
      <c r="J25" s="46"/>
      <c r="K25" s="46"/>
      <c r="L25" s="50" t="s">
        <v>28</v>
      </c>
      <c r="M25" s="47"/>
      <c r="N25" s="47"/>
      <c r="O25" s="48"/>
    </row>
    <row r="26" spans="1:15" ht="14.25">
      <c r="A26" s="49" t="s">
        <v>39</v>
      </c>
      <c r="B26" s="46"/>
      <c r="C26" s="46"/>
      <c r="D26" s="46"/>
      <c r="E26" s="46"/>
      <c r="F26" s="98">
        <v>0.0008333</v>
      </c>
      <c r="G26" s="53" t="s">
        <v>40</v>
      </c>
      <c r="H26" s="90" t="s">
        <v>98</v>
      </c>
      <c r="I26" s="50"/>
      <c r="J26" s="46"/>
      <c r="K26" s="46"/>
      <c r="L26" s="46"/>
      <c r="M26" s="47"/>
      <c r="N26" s="47"/>
      <c r="O26" s="48"/>
    </row>
    <row r="27" spans="1:15" ht="14.25">
      <c r="A27" s="49" t="s">
        <v>81</v>
      </c>
      <c r="B27" s="46"/>
      <c r="C27" s="46"/>
      <c r="D27" s="46"/>
      <c r="E27" s="46"/>
      <c r="F27" s="68">
        <f>F25+(F26*F49)</f>
        <v>0.15783302</v>
      </c>
      <c r="G27" s="53" t="s">
        <v>108</v>
      </c>
      <c r="H27" s="54" t="s">
        <v>30</v>
      </c>
      <c r="I27" s="50"/>
      <c r="J27" s="46"/>
      <c r="K27" s="46"/>
      <c r="L27" s="46"/>
      <c r="M27" s="47"/>
      <c r="N27" s="47"/>
      <c r="O27" s="48"/>
    </row>
    <row r="28" spans="1:15" ht="14.25">
      <c r="A28" s="9" t="s">
        <v>91</v>
      </c>
      <c r="B28" s="46"/>
      <c r="C28" s="46"/>
      <c r="D28" s="46"/>
      <c r="E28" s="46"/>
      <c r="F28" s="52"/>
      <c r="G28" s="53"/>
      <c r="H28" s="96" t="s">
        <v>89</v>
      </c>
      <c r="I28" s="50"/>
      <c r="J28" s="46"/>
      <c r="K28" s="46"/>
      <c r="L28" s="46"/>
      <c r="M28" s="47"/>
      <c r="N28" s="47"/>
      <c r="O28" s="48"/>
    </row>
    <row r="29" spans="1:15" ht="14.25">
      <c r="A29" s="49" t="s">
        <v>92</v>
      </c>
      <c r="B29" s="46"/>
      <c r="C29" s="46"/>
      <c r="D29" s="46"/>
      <c r="E29" s="46"/>
      <c r="F29" s="89">
        <v>0.04</v>
      </c>
      <c r="G29" s="53" t="s">
        <v>45</v>
      </c>
      <c r="H29" s="90" t="s">
        <v>101</v>
      </c>
      <c r="I29" s="46"/>
      <c r="J29" s="46"/>
      <c r="K29" s="46"/>
      <c r="L29" s="46"/>
      <c r="M29" s="47"/>
      <c r="N29" s="47"/>
      <c r="O29" s="48"/>
    </row>
    <row r="30" spans="1:15" ht="14.25">
      <c r="A30" s="49" t="s">
        <v>56</v>
      </c>
      <c r="B30" s="46"/>
      <c r="C30" s="46"/>
      <c r="D30" s="46"/>
      <c r="E30" s="46"/>
      <c r="F30" s="99">
        <v>0.05</v>
      </c>
      <c r="G30" s="53" t="s">
        <v>37</v>
      </c>
      <c r="H30" s="90" t="s">
        <v>41</v>
      </c>
      <c r="I30" s="46"/>
      <c r="J30" s="46"/>
      <c r="K30" s="46"/>
      <c r="L30" s="46"/>
      <c r="M30" s="47"/>
      <c r="N30" s="47"/>
      <c r="O30" s="48"/>
    </row>
    <row r="31" spans="1:15" ht="14.25">
      <c r="A31" s="49" t="s">
        <v>102</v>
      </c>
      <c r="B31" s="46"/>
      <c r="C31" s="46"/>
      <c r="D31" s="46"/>
      <c r="E31" s="46"/>
      <c r="F31" s="100">
        <f>F17/2</f>
        <v>11</v>
      </c>
      <c r="G31" s="53" t="s">
        <v>60</v>
      </c>
      <c r="H31" s="90" t="s">
        <v>77</v>
      </c>
      <c r="I31" s="46"/>
      <c r="J31" s="46"/>
      <c r="K31" s="46"/>
      <c r="L31" s="46"/>
      <c r="M31" s="47"/>
      <c r="N31" s="47"/>
      <c r="O31" s="48"/>
    </row>
    <row r="32" spans="1:15" ht="14.25">
      <c r="A32" s="49" t="s">
        <v>78</v>
      </c>
      <c r="B32" s="46"/>
      <c r="C32" s="46"/>
      <c r="D32" s="46"/>
      <c r="E32" s="46"/>
      <c r="F32" s="101">
        <v>21</v>
      </c>
      <c r="G32" s="53" t="s">
        <v>60</v>
      </c>
      <c r="H32" s="90" t="s">
        <v>79</v>
      </c>
      <c r="I32" s="46"/>
      <c r="J32" s="46"/>
      <c r="K32" s="46"/>
      <c r="L32" s="46"/>
      <c r="M32" s="47"/>
      <c r="N32" s="47"/>
      <c r="O32" s="48"/>
    </row>
    <row r="33" spans="1:15" ht="14.25">
      <c r="A33" s="9" t="s">
        <v>80</v>
      </c>
      <c r="B33" s="46"/>
      <c r="C33" s="46"/>
      <c r="D33" s="46"/>
      <c r="E33" s="46"/>
      <c r="F33" s="52"/>
      <c r="G33" s="53"/>
      <c r="H33" s="96"/>
      <c r="I33" s="46"/>
      <c r="J33" s="46"/>
      <c r="K33" s="46"/>
      <c r="L33" s="46"/>
      <c r="M33" s="47"/>
      <c r="N33" s="47"/>
      <c r="O33" s="48"/>
    </row>
    <row r="34" spans="1:15" ht="14.25">
      <c r="A34" s="49" t="s">
        <v>68</v>
      </c>
      <c r="B34" s="46"/>
      <c r="C34" s="46"/>
      <c r="D34" s="46"/>
      <c r="E34" s="46"/>
      <c r="F34" s="89">
        <v>7.5</v>
      </c>
      <c r="G34" s="53" t="s">
        <v>109</v>
      </c>
      <c r="H34" s="90" t="s">
        <v>129</v>
      </c>
      <c r="I34" s="46"/>
      <c r="J34" s="46"/>
      <c r="K34" s="46"/>
      <c r="L34" s="46"/>
      <c r="M34" s="47"/>
      <c r="N34" s="47"/>
      <c r="O34" s="48"/>
    </row>
    <row r="35" spans="1:15" ht="14.25">
      <c r="A35" s="49" t="s">
        <v>61</v>
      </c>
      <c r="B35" s="46"/>
      <c r="C35" s="46"/>
      <c r="D35" s="46"/>
      <c r="E35" s="46"/>
      <c r="F35" s="94">
        <v>15</v>
      </c>
      <c r="G35" s="53" t="s">
        <v>69</v>
      </c>
      <c r="H35" s="90"/>
      <c r="I35" s="46"/>
      <c r="J35" s="46"/>
      <c r="K35" s="46"/>
      <c r="L35" s="46"/>
      <c r="M35" s="47"/>
      <c r="N35" s="47"/>
      <c r="O35" s="48"/>
    </row>
    <row r="36" spans="1:15" ht="14.25">
      <c r="A36" s="49" t="s">
        <v>63</v>
      </c>
      <c r="B36" s="46"/>
      <c r="C36" s="46"/>
      <c r="D36" s="46"/>
      <c r="E36" s="46"/>
      <c r="F36" s="89">
        <v>0</v>
      </c>
      <c r="G36" s="53" t="s">
        <v>109</v>
      </c>
      <c r="H36" s="90"/>
      <c r="I36" s="46"/>
      <c r="J36" s="46"/>
      <c r="K36" s="46"/>
      <c r="L36" s="46"/>
      <c r="M36" s="47"/>
      <c r="N36" s="47"/>
      <c r="O36" s="48"/>
    </row>
    <row r="37" spans="1:15" ht="14.25">
      <c r="A37" s="49" t="s">
        <v>70</v>
      </c>
      <c r="B37" s="46"/>
      <c r="C37" s="46"/>
      <c r="D37" s="46"/>
      <c r="E37" s="46"/>
      <c r="F37" s="55">
        <f>(F34-F36)/F35</f>
        <v>0.5</v>
      </c>
      <c r="G37" s="64" t="s">
        <v>109</v>
      </c>
      <c r="H37" s="54" t="s">
        <v>87</v>
      </c>
      <c r="I37" s="46"/>
      <c r="J37" s="46"/>
      <c r="K37" s="46"/>
      <c r="L37" s="46"/>
      <c r="M37" s="47"/>
      <c r="N37" s="47"/>
      <c r="O37" s="48"/>
    </row>
    <row r="38" spans="1:15" ht="14.25">
      <c r="A38" s="49" t="s">
        <v>65</v>
      </c>
      <c r="B38" s="46"/>
      <c r="C38" s="46"/>
      <c r="D38" s="46"/>
      <c r="E38" s="46"/>
      <c r="F38" s="102">
        <v>0.075</v>
      </c>
      <c r="G38" s="53" t="s">
        <v>26</v>
      </c>
      <c r="H38" s="90"/>
      <c r="I38" s="46"/>
      <c r="J38" s="46"/>
      <c r="K38" s="46"/>
      <c r="L38" s="46"/>
      <c r="M38" s="47"/>
      <c r="N38" s="47"/>
      <c r="O38" s="48"/>
    </row>
    <row r="39" spans="1:15" ht="14.25">
      <c r="A39" s="49" t="s">
        <v>64</v>
      </c>
      <c r="B39" s="46"/>
      <c r="C39" s="46"/>
      <c r="D39" s="46"/>
      <c r="E39" s="46"/>
      <c r="F39" s="6">
        <f>((F34+F36)/2)*F38</f>
        <v>0.28125</v>
      </c>
      <c r="G39" s="64" t="s">
        <v>109</v>
      </c>
      <c r="H39" s="54" t="s">
        <v>86</v>
      </c>
      <c r="I39" s="46"/>
      <c r="J39" s="46"/>
      <c r="K39" s="46"/>
      <c r="L39" s="46"/>
      <c r="M39" s="47"/>
      <c r="N39" s="47"/>
      <c r="O39" s="48"/>
    </row>
    <row r="40" spans="1:15" ht="14.25">
      <c r="A40" s="49" t="s">
        <v>66</v>
      </c>
      <c r="B40" s="46"/>
      <c r="C40" s="46"/>
      <c r="D40" s="46"/>
      <c r="E40" s="46"/>
      <c r="F40" s="102">
        <v>0.014</v>
      </c>
      <c r="G40" s="53" t="s">
        <v>26</v>
      </c>
      <c r="H40" s="90"/>
      <c r="I40" s="46"/>
      <c r="J40" s="46"/>
      <c r="K40" s="46"/>
      <c r="L40" s="46"/>
      <c r="M40" s="47"/>
      <c r="N40" s="47"/>
      <c r="O40" s="48"/>
    </row>
    <row r="41" spans="1:15" ht="14.25">
      <c r="A41" s="49" t="s">
        <v>62</v>
      </c>
      <c r="B41" s="46"/>
      <c r="C41" s="46"/>
      <c r="D41" s="46"/>
      <c r="E41" s="46"/>
      <c r="F41" s="55">
        <f>((F34+F36)/2)*F40</f>
        <v>0.0525</v>
      </c>
      <c r="G41" s="64" t="s">
        <v>109</v>
      </c>
      <c r="H41" s="54" t="s">
        <v>86</v>
      </c>
      <c r="I41" s="46"/>
      <c r="J41" s="46"/>
      <c r="K41" s="46"/>
      <c r="L41" s="46"/>
      <c r="M41" s="47"/>
      <c r="N41" s="47"/>
      <c r="O41" s="48"/>
    </row>
    <row r="42" spans="1:15" ht="14.25">
      <c r="A42" s="49" t="s">
        <v>67</v>
      </c>
      <c r="B42" s="46"/>
      <c r="C42" s="46"/>
      <c r="D42" s="46"/>
      <c r="E42" s="46"/>
      <c r="F42" s="55">
        <f>F37+F39+F41</f>
        <v>0.83375</v>
      </c>
      <c r="G42" s="64" t="s">
        <v>109</v>
      </c>
      <c r="H42" s="54" t="s">
        <v>30</v>
      </c>
      <c r="I42" s="46"/>
      <c r="J42" s="46"/>
      <c r="K42" s="46"/>
      <c r="L42" s="46"/>
      <c r="M42" s="47"/>
      <c r="N42" s="47"/>
      <c r="O42" s="48"/>
    </row>
    <row r="43" spans="1:15" ht="14.25">
      <c r="A43" s="49" t="s">
        <v>110</v>
      </c>
      <c r="B43" s="46"/>
      <c r="C43" s="46"/>
      <c r="D43" s="46"/>
      <c r="E43" s="46"/>
      <c r="F43" s="102">
        <v>0.01</v>
      </c>
      <c r="G43" s="53" t="s">
        <v>26</v>
      </c>
      <c r="H43" s="96" t="s">
        <v>105</v>
      </c>
      <c r="I43" s="46"/>
      <c r="J43" s="46"/>
      <c r="K43" s="46"/>
      <c r="L43" s="46"/>
      <c r="M43" s="47"/>
      <c r="N43" s="47"/>
      <c r="O43" s="48"/>
    </row>
    <row r="44" spans="1:15" ht="14.25">
      <c r="A44" s="49" t="s">
        <v>107</v>
      </c>
      <c r="B44" s="46"/>
      <c r="C44" s="46"/>
      <c r="D44" s="46"/>
      <c r="E44" s="46"/>
      <c r="F44" s="55">
        <f>F34*F43</f>
        <v>0.075</v>
      </c>
      <c r="G44" s="64" t="s">
        <v>109</v>
      </c>
      <c r="H44" s="54"/>
      <c r="I44" s="46"/>
      <c r="J44" s="46"/>
      <c r="K44" s="46"/>
      <c r="L44" s="46"/>
      <c r="M44" s="47"/>
      <c r="N44" s="47"/>
      <c r="O44" s="48"/>
    </row>
    <row r="45" spans="1:15" ht="14.25">
      <c r="A45" s="49" t="s">
        <v>106</v>
      </c>
      <c r="B45" s="46"/>
      <c r="C45" s="46"/>
      <c r="D45" s="46"/>
      <c r="E45" s="46"/>
      <c r="F45" s="55">
        <f>+F42+F44</f>
        <v>0.90875</v>
      </c>
      <c r="G45" s="64" t="s">
        <v>109</v>
      </c>
      <c r="H45" s="54"/>
      <c r="I45" s="46"/>
      <c r="J45" s="46"/>
      <c r="K45" s="46"/>
      <c r="L45" s="46"/>
      <c r="M45" s="47"/>
      <c r="N45" s="47"/>
      <c r="O45" s="48"/>
    </row>
    <row r="46" spans="1:15" ht="14.25">
      <c r="A46" s="49" t="s">
        <v>102</v>
      </c>
      <c r="B46" s="46"/>
      <c r="C46" s="46"/>
      <c r="D46" s="46"/>
      <c r="E46" s="46"/>
      <c r="F46" s="100">
        <f>F17*0.37</f>
        <v>8.14</v>
      </c>
      <c r="G46" s="53" t="s">
        <v>60</v>
      </c>
      <c r="H46" s="90"/>
      <c r="I46" s="46"/>
      <c r="J46" s="46"/>
      <c r="K46" s="46"/>
      <c r="L46" s="46"/>
      <c r="M46" s="47"/>
      <c r="N46" s="47"/>
      <c r="O46" s="48"/>
    </row>
    <row r="47" spans="1:15" ht="14.25">
      <c r="A47" s="49" t="s">
        <v>36</v>
      </c>
      <c r="B47" s="46"/>
      <c r="C47" s="46"/>
      <c r="D47" s="46"/>
      <c r="E47" s="46"/>
      <c r="F47" s="101">
        <v>0.3</v>
      </c>
      <c r="G47" s="53" t="s">
        <v>37</v>
      </c>
      <c r="H47" s="90" t="s">
        <v>73</v>
      </c>
      <c r="I47" s="46"/>
      <c r="J47" s="46"/>
      <c r="K47" s="46"/>
      <c r="L47" s="46"/>
      <c r="M47" s="47"/>
      <c r="N47" s="47"/>
      <c r="O47" s="48"/>
    </row>
    <row r="48" spans="1:15" ht="14.25">
      <c r="A48" s="49" t="s">
        <v>111</v>
      </c>
      <c r="B48" s="46"/>
      <c r="C48" s="46"/>
      <c r="D48" s="46"/>
      <c r="E48" s="46"/>
      <c r="F48" s="89">
        <v>4.21</v>
      </c>
      <c r="G48" s="53" t="s">
        <v>72</v>
      </c>
      <c r="H48" s="90" t="s">
        <v>73</v>
      </c>
      <c r="I48" s="46"/>
      <c r="J48" s="46"/>
      <c r="K48" s="46"/>
      <c r="L48" s="46"/>
      <c r="M48" s="47"/>
      <c r="N48" s="47"/>
      <c r="O48" s="48"/>
    </row>
    <row r="49" spans="1:15" ht="14.25">
      <c r="A49" s="37" t="s">
        <v>112</v>
      </c>
      <c r="B49" s="38"/>
      <c r="C49" s="38"/>
      <c r="D49" s="38"/>
      <c r="E49" s="38"/>
      <c r="F49" s="103">
        <v>9.4</v>
      </c>
      <c r="G49" s="65" t="s">
        <v>71</v>
      </c>
      <c r="H49" s="104" t="s">
        <v>82</v>
      </c>
      <c r="I49" s="38"/>
      <c r="J49" s="38"/>
      <c r="K49" s="38"/>
      <c r="L49" s="38"/>
      <c r="M49" s="39"/>
      <c r="N49" s="39"/>
      <c r="O49" s="40"/>
    </row>
    <row r="50" spans="1:15" ht="14.25">
      <c r="A50" s="56"/>
      <c r="B50" s="41"/>
      <c r="C50" s="41"/>
      <c r="D50" s="41"/>
      <c r="E50" s="41"/>
      <c r="F50" s="45"/>
      <c r="G50" s="45"/>
      <c r="H50" s="105" t="s">
        <v>83</v>
      </c>
      <c r="I50" s="41"/>
      <c r="J50" s="41"/>
      <c r="K50" s="41"/>
      <c r="L50" s="41"/>
      <c r="M50" s="42"/>
      <c r="N50" s="42"/>
      <c r="O50" s="43"/>
    </row>
    <row r="51" spans="1:15" ht="9" customHeight="1">
      <c r="A51" s="82"/>
      <c r="B51" s="38"/>
      <c r="C51" s="38"/>
      <c r="D51" s="38"/>
      <c r="E51" s="38"/>
      <c r="F51" s="38"/>
      <c r="G51" s="38"/>
      <c r="H51" s="116"/>
      <c r="I51" s="38"/>
      <c r="J51" s="38"/>
      <c r="K51" s="38"/>
      <c r="L51" s="38"/>
      <c r="M51" s="39"/>
      <c r="N51" s="39"/>
      <c r="O51" s="38"/>
    </row>
    <row r="52" spans="1:15" ht="24" customHeight="1">
      <c r="A52" s="115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4"/>
      <c r="N52" s="114"/>
      <c r="O52" s="112"/>
    </row>
    <row r="53" spans="1:15" ht="20.25" customHeight="1">
      <c r="A53" s="87" t="str">
        <f>A2</f>
        <v>Hay Production, Harvest and Storage Costs, Round Bales:  Estimated annual operating and fixed cost</v>
      </c>
      <c r="B53" s="84"/>
      <c r="C53" s="84"/>
      <c r="D53" s="84"/>
      <c r="E53" s="84"/>
      <c r="F53" s="84"/>
      <c r="G53" s="84"/>
      <c r="H53" s="84"/>
      <c r="I53" s="84"/>
      <c r="K53" s="38"/>
      <c r="L53" s="38"/>
      <c r="M53" s="39"/>
      <c r="N53" s="79" t="s">
        <v>115</v>
      </c>
      <c r="O53" s="38"/>
    </row>
    <row r="54" spans="1:15" ht="15.75">
      <c r="A54" s="87" t="str">
        <f>A3</f>
        <v>per one ton of usable hay on a dry matter basis (approximately 1.2 tons of hay at 85% dry matter)        </v>
      </c>
      <c r="B54" s="84"/>
      <c r="C54" s="84"/>
      <c r="D54" s="84"/>
      <c r="E54" s="84"/>
      <c r="F54" s="84"/>
      <c r="G54" s="84"/>
      <c r="H54" s="84"/>
      <c r="I54" s="84"/>
      <c r="K54" s="38"/>
      <c r="L54" s="38"/>
      <c r="M54" s="39"/>
      <c r="N54" s="81">
        <v>39630</v>
      </c>
      <c r="O54" s="38"/>
    </row>
    <row r="55" spans="1:15" ht="15.75">
      <c r="A55" s="87" t="str">
        <f>A4</f>
        <v>under alternative hay storage systems.   Loading out or feeding out costs are not included.</v>
      </c>
      <c r="B55" s="84"/>
      <c r="C55" s="84"/>
      <c r="D55" s="84"/>
      <c r="E55" s="84"/>
      <c r="F55" s="84"/>
      <c r="G55" s="84"/>
      <c r="H55" s="84"/>
      <c r="I55" s="84"/>
      <c r="K55" s="38"/>
      <c r="L55" s="38"/>
      <c r="M55" s="39"/>
      <c r="N55" s="39"/>
      <c r="O55" s="38"/>
    </row>
    <row r="56" spans="1:15" ht="15">
      <c r="A56" s="85" t="s">
        <v>119</v>
      </c>
      <c r="B56" s="27"/>
      <c r="C56" s="27"/>
      <c r="D56" s="84"/>
      <c r="E56" s="84"/>
      <c r="F56" s="84"/>
      <c r="G56" s="84"/>
      <c r="H56" s="84"/>
      <c r="K56" s="38"/>
      <c r="L56" s="38"/>
      <c r="M56" s="39"/>
      <c r="N56" s="39"/>
      <c r="O56" s="38"/>
    </row>
    <row r="57" spans="1:15" ht="9" customHeight="1">
      <c r="A57" s="8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9"/>
      <c r="N57" s="39"/>
      <c r="O57" s="38"/>
    </row>
    <row r="58" spans="1:15" ht="9" customHeight="1">
      <c r="A58" s="82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9"/>
      <c r="N58" s="39"/>
      <c r="O58" s="38"/>
    </row>
    <row r="59" ht="15">
      <c r="A59" s="57" t="s">
        <v>114</v>
      </c>
    </row>
    <row r="60" ht="15">
      <c r="A60" s="106" t="s">
        <v>31</v>
      </c>
    </row>
    <row r="61" spans="1:15" ht="14.25">
      <c r="A61" s="58"/>
      <c r="B61" s="13" t="s">
        <v>5</v>
      </c>
      <c r="C61" s="7" t="s">
        <v>8</v>
      </c>
      <c r="D61" s="14" t="s">
        <v>10</v>
      </c>
      <c r="E61" s="10" t="s">
        <v>12</v>
      </c>
      <c r="F61" s="7" t="s">
        <v>33</v>
      </c>
      <c r="G61" s="21" t="s">
        <v>46</v>
      </c>
      <c r="H61" s="21" t="s">
        <v>17</v>
      </c>
      <c r="I61" s="13" t="s">
        <v>22</v>
      </c>
      <c r="J61" s="26" t="s">
        <v>84</v>
      </c>
      <c r="K61" s="7" t="s">
        <v>20</v>
      </c>
      <c r="L61" s="14" t="s">
        <v>24</v>
      </c>
      <c r="M61" s="10" t="s">
        <v>38</v>
      </c>
      <c r="N61" s="21" t="s">
        <v>27</v>
      </c>
      <c r="O61" s="25"/>
    </row>
    <row r="62" spans="1:15" ht="16.5">
      <c r="A62" s="59" t="s">
        <v>0</v>
      </c>
      <c r="B62" s="15" t="s">
        <v>6</v>
      </c>
      <c r="C62" s="8" t="s">
        <v>9</v>
      </c>
      <c r="D62" s="16" t="s">
        <v>11</v>
      </c>
      <c r="E62" s="11" t="s">
        <v>13</v>
      </c>
      <c r="F62" s="8" t="s">
        <v>16</v>
      </c>
      <c r="G62" s="22"/>
      <c r="H62" s="22" t="s">
        <v>18</v>
      </c>
      <c r="I62" s="15" t="s">
        <v>9</v>
      </c>
      <c r="J62" s="8" t="s">
        <v>42</v>
      </c>
      <c r="K62" s="8" t="s">
        <v>21</v>
      </c>
      <c r="L62" s="16" t="s">
        <v>25</v>
      </c>
      <c r="M62" s="11" t="s">
        <v>117</v>
      </c>
      <c r="N62" s="22" t="s">
        <v>121</v>
      </c>
      <c r="O62" s="25"/>
    </row>
    <row r="63" spans="1:15" ht="14.25">
      <c r="A63" s="60"/>
      <c r="B63" s="17" t="s">
        <v>7</v>
      </c>
      <c r="C63" s="4" t="s">
        <v>7</v>
      </c>
      <c r="D63" s="18" t="s">
        <v>7</v>
      </c>
      <c r="E63" s="12" t="s">
        <v>14</v>
      </c>
      <c r="F63" s="4" t="s">
        <v>19</v>
      </c>
      <c r="G63" s="4" t="s">
        <v>19</v>
      </c>
      <c r="H63" s="23" t="s">
        <v>7</v>
      </c>
      <c r="I63" s="17" t="s">
        <v>23</v>
      </c>
      <c r="J63" s="4" t="s">
        <v>7</v>
      </c>
      <c r="K63" s="4" t="s">
        <v>7</v>
      </c>
      <c r="L63" s="18" t="s">
        <v>7</v>
      </c>
      <c r="M63" s="12" t="s">
        <v>26</v>
      </c>
      <c r="N63" s="23" t="s">
        <v>7</v>
      </c>
      <c r="O63" s="25"/>
    </row>
    <row r="64" spans="1:15" ht="14.25">
      <c r="A64" s="60" t="s">
        <v>1</v>
      </c>
      <c r="B64" s="19">
        <f>$F$9</f>
        <v>64.27</v>
      </c>
      <c r="C64" s="5">
        <f>$F$12</f>
        <v>78.69999999999999</v>
      </c>
      <c r="D64" s="20">
        <f>B64+C64</f>
        <v>142.96999999999997</v>
      </c>
      <c r="E64" s="67">
        <f>$F$23</f>
        <v>0.017125</v>
      </c>
      <c r="F64" s="28">
        <f>$F$17*(2000/$F$13)</f>
        <v>63.95348837209302</v>
      </c>
      <c r="G64" s="29" t="s">
        <v>47</v>
      </c>
      <c r="H64" s="69">
        <f>E64*F64</f>
        <v>1.0952034883720931</v>
      </c>
      <c r="I64" s="19">
        <f>+$F$49</f>
        <v>9.4</v>
      </c>
      <c r="J64" s="74">
        <v>0</v>
      </c>
      <c r="K64" s="31" t="s">
        <v>35</v>
      </c>
      <c r="L64" s="20">
        <f>D64+H64+J64</f>
        <v>144.06520348837208</v>
      </c>
      <c r="M64" s="108">
        <v>0.227</v>
      </c>
      <c r="N64" s="24">
        <f>L64/(1-M64)</f>
        <v>186.37154396943347</v>
      </c>
      <c r="O64" s="25"/>
    </row>
    <row r="65" spans="1:15" ht="14.25">
      <c r="A65" s="60" t="s">
        <v>2</v>
      </c>
      <c r="B65" s="19">
        <f>$F$9</f>
        <v>64.27</v>
      </c>
      <c r="C65" s="5">
        <f>$F$12</f>
        <v>78.69999999999999</v>
      </c>
      <c r="D65" s="20">
        <f>B65+C65</f>
        <v>142.96999999999997</v>
      </c>
      <c r="E65" s="67">
        <f>$F$23+$F$27</f>
        <v>0.17495802</v>
      </c>
      <c r="F65" s="28">
        <f>$F$17*(2000/$F$13)</f>
        <v>63.95348837209302</v>
      </c>
      <c r="G65" s="29" t="s">
        <v>47</v>
      </c>
      <c r="H65" s="69">
        <f>E65*F65</f>
        <v>11.189175697674418</v>
      </c>
      <c r="I65" s="19">
        <f>+$F$49</f>
        <v>9.4</v>
      </c>
      <c r="J65" s="74">
        <v>0</v>
      </c>
      <c r="K65" s="31" t="s">
        <v>35</v>
      </c>
      <c r="L65" s="20">
        <f>D65+H65+J65</f>
        <v>154.15917569767439</v>
      </c>
      <c r="M65" s="108">
        <v>0.227</v>
      </c>
      <c r="N65" s="24">
        <f>L65/(1-M65)</f>
        <v>199.4297227654261</v>
      </c>
      <c r="O65" s="25"/>
    </row>
    <row r="66" spans="1:15" ht="14.25">
      <c r="A66" s="60" t="s">
        <v>3</v>
      </c>
      <c r="B66" s="19">
        <f>$F$9</f>
        <v>64.27</v>
      </c>
      <c r="C66" s="5">
        <f>$F$12</f>
        <v>78.69999999999999</v>
      </c>
      <c r="D66" s="20">
        <f>B66+C66</f>
        <v>142.96999999999997</v>
      </c>
      <c r="E66" s="67">
        <f>$F$23</f>
        <v>0.017125</v>
      </c>
      <c r="F66" s="28">
        <f>$F$31*(2000/$F$13)</f>
        <v>31.97674418604651</v>
      </c>
      <c r="G66" s="30">
        <f>$F$32*(2000/$F$13)</f>
        <v>61.04651162790697</v>
      </c>
      <c r="H66" s="69">
        <f>(E66*F66)+(G66*$F$29)</f>
        <v>2.9894622093023253</v>
      </c>
      <c r="I66" s="19">
        <f>+$F$49</f>
        <v>9.4</v>
      </c>
      <c r="J66" s="75">
        <f>($F$30*$F$49)</f>
        <v>0.47000000000000003</v>
      </c>
      <c r="K66" s="31" t="s">
        <v>35</v>
      </c>
      <c r="L66" s="20">
        <f>D66+H66+J66</f>
        <v>146.4294622093023</v>
      </c>
      <c r="M66" s="108">
        <v>0.1</v>
      </c>
      <c r="N66" s="24">
        <f>L66/(1-M66)</f>
        <v>162.69940245478034</v>
      </c>
      <c r="O66" s="25"/>
    </row>
    <row r="67" spans="1:15" ht="14.25">
      <c r="A67" s="60" t="s">
        <v>4</v>
      </c>
      <c r="B67" s="19">
        <f>$F$9</f>
        <v>64.27</v>
      </c>
      <c r="C67" s="5">
        <f>$F$12</f>
        <v>78.69999999999999</v>
      </c>
      <c r="D67" s="20">
        <f>B67+C67</f>
        <v>142.96999999999997</v>
      </c>
      <c r="E67" s="67">
        <f>$F$23+$F$27</f>
        <v>0.17495802</v>
      </c>
      <c r="F67" s="28">
        <f>$F$31*(2000/$F$13)</f>
        <v>31.97674418604651</v>
      </c>
      <c r="G67" s="30">
        <f>$F$32*(2000/$F$13)</f>
        <v>61.04651162790697</v>
      </c>
      <c r="H67" s="69">
        <f>(E67*F67)+(G67*$F$29)</f>
        <v>8.036448313953489</v>
      </c>
      <c r="I67" s="19">
        <f>+$F$49</f>
        <v>9.4</v>
      </c>
      <c r="J67" s="75">
        <f>($F$30*$F$49)</f>
        <v>0.47000000000000003</v>
      </c>
      <c r="K67" s="31" t="s">
        <v>35</v>
      </c>
      <c r="L67" s="20">
        <f>D67+H67+J67</f>
        <v>151.47644831395345</v>
      </c>
      <c r="M67" s="108">
        <v>0.1</v>
      </c>
      <c r="N67" s="24">
        <f>L67/(1-M67)</f>
        <v>168.3071647932816</v>
      </c>
      <c r="O67" s="25"/>
    </row>
    <row r="68" spans="1:15" ht="16.5">
      <c r="A68" s="107" t="s">
        <v>122</v>
      </c>
      <c r="B68" s="19">
        <f>$F$9</f>
        <v>64.27</v>
      </c>
      <c r="C68" s="5">
        <f>$F$12</f>
        <v>78.69999999999999</v>
      </c>
      <c r="D68" s="20">
        <f>B68+C68</f>
        <v>142.96999999999997</v>
      </c>
      <c r="E68" s="67">
        <f>$F$27+$F$45</f>
        <v>1.06658302</v>
      </c>
      <c r="F68" s="28">
        <f>$F$46*(2000/$F$13)</f>
        <v>23.66279069767442</v>
      </c>
      <c r="G68" s="29" t="s">
        <v>47</v>
      </c>
      <c r="H68" s="69">
        <f>E68*F68</f>
        <v>25.23833076395349</v>
      </c>
      <c r="I68" s="19">
        <f>+$F$49</f>
        <v>9.4</v>
      </c>
      <c r="J68" s="75">
        <f>($F$47*$F$49)</f>
        <v>2.82</v>
      </c>
      <c r="K68" s="55">
        <f>F48</f>
        <v>4.21</v>
      </c>
      <c r="L68" s="20">
        <f>D68+H68+J68+K68</f>
        <v>175.23833076395346</v>
      </c>
      <c r="M68" s="108">
        <v>0.027</v>
      </c>
      <c r="N68" s="24">
        <f>L68/(1-M68)</f>
        <v>180.10105936685864</v>
      </c>
      <c r="O68" s="25"/>
    </row>
    <row r="69" spans="2:13" ht="14.25">
      <c r="B69" s="1"/>
      <c r="C69" s="1"/>
      <c r="D69" s="1"/>
      <c r="E69" s="1"/>
      <c r="F69" s="1"/>
      <c r="G69" s="1"/>
      <c r="H69" s="70"/>
      <c r="J69" s="76"/>
      <c r="M69" s="61"/>
    </row>
    <row r="70" spans="2:13" ht="14.25">
      <c r="B70" s="1"/>
      <c r="C70" s="1"/>
      <c r="D70" s="1"/>
      <c r="E70" s="1"/>
      <c r="F70" s="1"/>
      <c r="G70" s="1"/>
      <c r="H70" s="70"/>
      <c r="J70" s="76"/>
      <c r="M70" s="61"/>
    </row>
    <row r="71" spans="1:13" ht="15">
      <c r="A71" s="106" t="s">
        <v>32</v>
      </c>
      <c r="B71" s="1"/>
      <c r="C71" s="1"/>
      <c r="D71" s="1"/>
      <c r="E71" s="1"/>
      <c r="F71" s="1"/>
      <c r="G71" s="1"/>
      <c r="H71" s="70"/>
      <c r="J71" s="76"/>
      <c r="M71" s="61"/>
    </row>
    <row r="72" spans="1:14" ht="14.25">
      <c r="A72" s="58"/>
      <c r="B72" s="13" t="s">
        <v>5</v>
      </c>
      <c r="C72" s="7" t="s">
        <v>8</v>
      </c>
      <c r="D72" s="21" t="s">
        <v>10</v>
      </c>
      <c r="E72" s="13" t="s">
        <v>12</v>
      </c>
      <c r="F72" s="7" t="s">
        <v>15</v>
      </c>
      <c r="G72" s="21" t="s">
        <v>46</v>
      </c>
      <c r="H72" s="71" t="s">
        <v>17</v>
      </c>
      <c r="I72" s="13" t="s">
        <v>22</v>
      </c>
      <c r="J72" s="77" t="s">
        <v>85</v>
      </c>
      <c r="K72" s="7" t="s">
        <v>20</v>
      </c>
      <c r="L72" s="21" t="s">
        <v>24</v>
      </c>
      <c r="M72" s="62" t="s">
        <v>38</v>
      </c>
      <c r="N72" s="14" t="s">
        <v>27</v>
      </c>
    </row>
    <row r="73" spans="1:14" ht="16.5">
      <c r="A73" s="59" t="s">
        <v>0</v>
      </c>
      <c r="B73" s="15" t="s">
        <v>6</v>
      </c>
      <c r="C73" s="8" t="s">
        <v>9</v>
      </c>
      <c r="D73" s="22" t="s">
        <v>11</v>
      </c>
      <c r="E73" s="15" t="s">
        <v>13</v>
      </c>
      <c r="F73" s="8" t="s">
        <v>16</v>
      </c>
      <c r="G73" s="22"/>
      <c r="H73" s="72" t="s">
        <v>18</v>
      </c>
      <c r="I73" s="15" t="s">
        <v>9</v>
      </c>
      <c r="J73" s="78" t="s">
        <v>42</v>
      </c>
      <c r="K73" s="8" t="s">
        <v>21</v>
      </c>
      <c r="L73" s="22" t="s">
        <v>25</v>
      </c>
      <c r="M73" s="15" t="s">
        <v>117</v>
      </c>
      <c r="N73" s="16" t="s">
        <v>121</v>
      </c>
    </row>
    <row r="74" spans="1:14" ht="14.25">
      <c r="A74" s="60"/>
      <c r="B74" s="17" t="s">
        <v>7</v>
      </c>
      <c r="C74" s="4" t="s">
        <v>7</v>
      </c>
      <c r="D74" s="23" t="s">
        <v>7</v>
      </c>
      <c r="E74" s="17" t="s">
        <v>14</v>
      </c>
      <c r="F74" s="4" t="s">
        <v>19</v>
      </c>
      <c r="G74" s="4" t="s">
        <v>19</v>
      </c>
      <c r="H74" s="73" t="s">
        <v>7</v>
      </c>
      <c r="I74" s="17" t="s">
        <v>23</v>
      </c>
      <c r="J74" s="74" t="s">
        <v>7</v>
      </c>
      <c r="K74" s="4" t="s">
        <v>7</v>
      </c>
      <c r="L74" s="23" t="s">
        <v>7</v>
      </c>
      <c r="M74" s="63" t="s">
        <v>26</v>
      </c>
      <c r="N74" s="18" t="s">
        <v>7</v>
      </c>
    </row>
    <row r="75" spans="1:14" ht="14.25">
      <c r="A75" s="60" t="s">
        <v>1</v>
      </c>
      <c r="B75" s="19">
        <f>$F$9</f>
        <v>64.27</v>
      </c>
      <c r="C75" s="5">
        <f>$F$12</f>
        <v>78.69999999999999</v>
      </c>
      <c r="D75" s="24">
        <f>B75+C75</f>
        <v>142.96999999999997</v>
      </c>
      <c r="E75" s="67">
        <f>$F$23</f>
        <v>0.017125</v>
      </c>
      <c r="F75" s="28">
        <f>$F$17*(2000/$F$13)</f>
        <v>63.95348837209302</v>
      </c>
      <c r="G75" s="29" t="s">
        <v>47</v>
      </c>
      <c r="H75" s="69">
        <f>E75*F75</f>
        <v>1.0952034883720931</v>
      </c>
      <c r="I75" s="19">
        <f>+$F$49</f>
        <v>9.4</v>
      </c>
      <c r="J75" s="74">
        <v>0</v>
      </c>
      <c r="K75" s="31" t="s">
        <v>35</v>
      </c>
      <c r="L75" s="20">
        <f>D75+H75+J75</f>
        <v>144.06520348837208</v>
      </c>
      <c r="M75" s="109">
        <v>0.307</v>
      </c>
      <c r="N75" s="20">
        <f>L75/(1-M75)</f>
        <v>207.8862965200174</v>
      </c>
    </row>
    <row r="76" spans="1:14" ht="14.25">
      <c r="A76" s="60" t="s">
        <v>2</v>
      </c>
      <c r="B76" s="19">
        <f>$F$9</f>
        <v>64.27</v>
      </c>
      <c r="C76" s="5">
        <f>$F$12</f>
        <v>78.69999999999999</v>
      </c>
      <c r="D76" s="24">
        <f>B76+C76</f>
        <v>142.96999999999997</v>
      </c>
      <c r="E76" s="67">
        <f>$F$23+$F$27</f>
        <v>0.17495802</v>
      </c>
      <c r="F76" s="28">
        <f>$F$17*(2000/$F$13)</f>
        <v>63.95348837209302</v>
      </c>
      <c r="G76" s="29" t="s">
        <v>47</v>
      </c>
      <c r="H76" s="69">
        <f>E76*F76</f>
        <v>11.189175697674418</v>
      </c>
      <c r="I76" s="19">
        <f>+$F$49</f>
        <v>9.4</v>
      </c>
      <c r="J76" s="74">
        <v>0</v>
      </c>
      <c r="K76" s="31" t="s">
        <v>35</v>
      </c>
      <c r="L76" s="20">
        <f>D76+H76+J76</f>
        <v>154.15917569767439</v>
      </c>
      <c r="M76" s="109">
        <v>0.307</v>
      </c>
      <c r="N76" s="20">
        <f>L76/(1-M76)</f>
        <v>222.4519129836571</v>
      </c>
    </row>
    <row r="77" spans="1:14" ht="14.25">
      <c r="A77" s="60" t="s">
        <v>3</v>
      </c>
      <c r="B77" s="19">
        <f>$F$9</f>
        <v>64.27</v>
      </c>
      <c r="C77" s="5">
        <f>$F$12</f>
        <v>78.69999999999999</v>
      </c>
      <c r="D77" s="24">
        <f>B77+C77</f>
        <v>142.96999999999997</v>
      </c>
      <c r="E77" s="67">
        <f>$F$23</f>
        <v>0.017125</v>
      </c>
      <c r="F77" s="28">
        <f>$F$31*(2000/$F$13)</f>
        <v>31.97674418604651</v>
      </c>
      <c r="G77" s="30">
        <f>$F$32*(2000/$F$13)</f>
        <v>61.04651162790697</v>
      </c>
      <c r="H77" s="69">
        <f>(E77*F77)+(G77*$F$29)</f>
        <v>2.9894622093023253</v>
      </c>
      <c r="I77" s="19">
        <f>+$F$49</f>
        <v>9.4</v>
      </c>
      <c r="J77" s="75">
        <f>($F$30*$F$49)</f>
        <v>0.47000000000000003</v>
      </c>
      <c r="K77" s="31" t="s">
        <v>35</v>
      </c>
      <c r="L77" s="20">
        <f>D77+H77+J77</f>
        <v>146.4294622093023</v>
      </c>
      <c r="M77" s="109">
        <v>0.193</v>
      </c>
      <c r="N77" s="20">
        <f>L77/(1-M77)</f>
        <v>181.4491477190859</v>
      </c>
    </row>
    <row r="78" spans="1:14" ht="14.25">
      <c r="A78" s="60" t="s">
        <v>4</v>
      </c>
      <c r="B78" s="19">
        <f>$F$9</f>
        <v>64.27</v>
      </c>
      <c r="C78" s="5">
        <f>$F$12</f>
        <v>78.69999999999999</v>
      </c>
      <c r="D78" s="24">
        <f>B78+C78</f>
        <v>142.96999999999997</v>
      </c>
      <c r="E78" s="67">
        <f>$F$23+$F$27</f>
        <v>0.17495802</v>
      </c>
      <c r="F78" s="28">
        <f>$F$31*(2000/$F$13)</f>
        <v>31.97674418604651</v>
      </c>
      <c r="G78" s="30">
        <f>$F$32*(2000/$F$13)</f>
        <v>61.04651162790697</v>
      </c>
      <c r="H78" s="69">
        <f>(E78*F78)+(G78*$F$29)</f>
        <v>8.036448313953489</v>
      </c>
      <c r="I78" s="19">
        <f>+$F$49</f>
        <v>9.4</v>
      </c>
      <c r="J78" s="75">
        <f>($F$30*$F$49)</f>
        <v>0.47000000000000003</v>
      </c>
      <c r="K78" s="31" t="s">
        <v>35</v>
      </c>
      <c r="L78" s="20">
        <f>D78+H78+J78</f>
        <v>151.47644831395345</v>
      </c>
      <c r="M78" s="109">
        <v>0.111</v>
      </c>
      <c r="N78" s="20">
        <f>L78/(1-M78)</f>
        <v>170.38970563999263</v>
      </c>
    </row>
    <row r="79" spans="1:14" ht="16.5">
      <c r="A79" s="107" t="s">
        <v>123</v>
      </c>
      <c r="B79" s="19">
        <f>$F$9</f>
        <v>64.27</v>
      </c>
      <c r="C79" s="5">
        <f>$F$12</f>
        <v>78.69999999999999</v>
      </c>
      <c r="D79" s="24">
        <f>B79+C79</f>
        <v>142.96999999999997</v>
      </c>
      <c r="E79" s="67">
        <f>$F$27+$F$45</f>
        <v>1.06658302</v>
      </c>
      <c r="F79" s="28">
        <f>$F$46*(2000/$F$13)</f>
        <v>23.66279069767442</v>
      </c>
      <c r="G79" s="29" t="s">
        <v>47</v>
      </c>
      <c r="H79" s="69">
        <f>E79*F79*1.5</f>
        <v>37.857496145930234</v>
      </c>
      <c r="I79" s="19">
        <f>+$F$49</f>
        <v>9.4</v>
      </c>
      <c r="J79" s="75">
        <f>($F$47*$F$49)</f>
        <v>2.82</v>
      </c>
      <c r="K79" s="55">
        <f>F48</f>
        <v>4.21</v>
      </c>
      <c r="L79" s="20">
        <f>D79+H79+J79+K79</f>
        <v>187.8574961459302</v>
      </c>
      <c r="M79" s="109">
        <v>0.111</v>
      </c>
      <c r="N79" s="20">
        <f>L79/(1-M79)</f>
        <v>211.3132690055458</v>
      </c>
    </row>
    <row r="80" ht="14.25">
      <c r="G80" s="1"/>
    </row>
    <row r="81" ht="16.5">
      <c r="A81" s="83" t="s">
        <v>127</v>
      </c>
    </row>
    <row r="82" ht="16.5">
      <c r="A82" s="83" t="s">
        <v>128</v>
      </c>
    </row>
    <row r="83" ht="16.5">
      <c r="A83" s="83" t="s">
        <v>130</v>
      </c>
    </row>
  </sheetData>
  <sheetProtection sheet="1" objects="1" scenarios="1" selectLockedCells="1"/>
  <hyperlinks>
    <hyperlink ref="L25" r:id="rId1" display="http://www.recycle.net/exchange/"/>
  </hyperlinks>
  <printOptions/>
  <pageMargins left="0.57" right="0.35" top="1" bottom="0.69" header="0.5" footer="0.5"/>
  <pageSetup horizontalDpi="600" verticalDpi="600" orientation="landscape" scale="69" r:id="rId3"/>
  <rowBreaks count="1" manualBreakCount="1">
    <brk id="5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Geoff Benson</cp:lastModifiedBy>
  <cp:lastPrinted>2008-07-02T20:51:50Z</cp:lastPrinted>
  <dcterms:created xsi:type="dcterms:W3CDTF">2007-02-14T15:08:06Z</dcterms:created>
  <dcterms:modified xsi:type="dcterms:W3CDTF">2008-08-10T15:58:48Z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