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" windowWidth="13305" windowHeight="7350" activeTab="0"/>
  </bookViews>
  <sheets>
    <sheet name="BeefFinishPasture21-8" sheetId="1" r:id="rId1"/>
    <sheet name="BeefPastFinFixedCost" sheetId="2" r:id="rId2"/>
  </sheets>
  <definedNames>
    <definedName name="_xlnm.Print_Area" localSheetId="1">'BeefPastFinFixedCost'!$A$1:$L$73</definedName>
  </definedNames>
  <calcPr fullCalcOnLoad="1"/>
</workbook>
</file>

<file path=xl/sharedStrings.xml><?xml version="1.0" encoding="utf-8"?>
<sst xmlns="http://schemas.openxmlformats.org/spreadsheetml/2006/main" count="242" uniqueCount="162">
  <si>
    <t>Category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</si>
  <si>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</si>
  <si>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</si>
  <si>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</si>
  <si>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</si>
  <si>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0"/>
        <rFont val="Arial"/>
        <family val="2"/>
      </rPr>
      <t>b</t>
    </r>
  </si>
  <si>
    <t>Tax &amp;</t>
  </si>
  <si>
    <t>Total</t>
  </si>
  <si>
    <t>Description</t>
  </si>
  <si>
    <t>Unit</t>
  </si>
  <si>
    <t>Price</t>
  </si>
  <si>
    <t>Quantity</t>
  </si>
  <si>
    <t>Value</t>
  </si>
  <si>
    <t>Cost</t>
  </si>
  <si>
    <r>
      <t>iation</t>
    </r>
    <r>
      <rPr>
        <b/>
        <vertAlign val="superscript"/>
        <sz val="10"/>
        <rFont val="Arial"/>
        <family val="2"/>
      </rPr>
      <t>a</t>
    </r>
  </si>
  <si>
    <r>
      <t>Ins.</t>
    </r>
    <r>
      <rPr>
        <b/>
        <vertAlign val="superscript"/>
        <sz val="10"/>
        <rFont val="Arial"/>
        <family val="2"/>
      </rPr>
      <t>c</t>
    </r>
  </si>
  <si>
    <t>Years</t>
  </si>
  <si>
    <t>$</t>
  </si>
  <si>
    <t>Cwt.</t>
  </si>
  <si>
    <t>__________</t>
  </si>
  <si>
    <t>Acre</t>
  </si>
  <si>
    <r>
      <t>a</t>
    </r>
    <r>
      <rPr>
        <sz val="10"/>
        <rFont val="Arial"/>
        <family val="2"/>
      </rPr>
      <t xml:space="preserve"> Depreciation = (Initial cost - Salvage value) / years of life</t>
    </r>
  </si>
  <si>
    <t xml:space="preserve">   Sales Com. &amp; transport</t>
  </si>
  <si>
    <r>
      <t xml:space="preserve">   Annual operating capital</t>
    </r>
    <r>
      <rPr>
        <vertAlign val="superscript"/>
        <sz val="10"/>
        <rFont val="Arial"/>
        <family val="2"/>
      </rPr>
      <t>b</t>
    </r>
  </si>
  <si>
    <t>$/hr.</t>
  </si>
  <si>
    <t xml:space="preserve">   Livestock labor</t>
  </si>
  <si>
    <t>TOTAL OPERATING COSTS</t>
  </si>
  <si>
    <t>TOTAL OWNERSHIP COSTS</t>
  </si>
  <si>
    <t>OPERATING INPUTS</t>
  </si>
  <si>
    <t>LABOR COSTS</t>
  </si>
  <si>
    <t>RETURNS  OVER OPERATING EXPENSES</t>
  </si>
  <si>
    <t>RETURNS TO LAND, OVERHEAD, LABOR, AND MANAGEMENT</t>
  </si>
  <si>
    <t>RETURNS TO LAND, OVERHEAD AND MANAGEMENT</t>
  </si>
  <si>
    <t>COST SUMMARY</t>
  </si>
  <si>
    <t>SENSITIVITY ANALYSIS</t>
  </si>
  <si>
    <t xml:space="preserve">This table shows the returns to land, overhead and management (a measure of profit) </t>
  </si>
  <si>
    <t xml:space="preserve">under various assumptions about costs and returns.  Specifically, the cost and returns </t>
  </si>
  <si>
    <t>shown in the enterprise budget on the first page are believed to be fairly representative</t>
  </si>
  <si>
    <t>of conditions in North Carolina.   However, there is a wide variation in farm performance</t>
  </si>
  <si>
    <t>from one farm to another and costs and cattle prices can change rapidly from year to</t>
  </si>
  <si>
    <t xml:space="preserve">year.  The table shows the effects of returns that are 10 percent higher and lower than </t>
  </si>
  <si>
    <t>for the basic budget.  Similarly, the table also shows the effects of total costs that are</t>
  </si>
  <si>
    <t>10 percent higher and lower.</t>
  </si>
  <si>
    <t>REVENUE</t>
  </si>
  <si>
    <t>Base</t>
  </si>
  <si>
    <t>Lower</t>
  </si>
  <si>
    <t>Budget</t>
  </si>
  <si>
    <t>Higher</t>
  </si>
  <si>
    <t>COST</t>
  </si>
  <si>
    <t>+ 10%</t>
  </si>
  <si>
    <t>RETURNS TO LAND, OVERHEAD AND MANAGEMENT:</t>
  </si>
  <si>
    <t>TOTAL LABOR COST</t>
  </si>
  <si>
    <t>TOTAL COST</t>
  </si>
  <si>
    <t>Share to</t>
  </si>
  <si>
    <t>Enterprise</t>
  </si>
  <si>
    <t>%</t>
  </si>
  <si>
    <t>% of initial investment</t>
  </si>
  <si>
    <t>Interest &amp; Tax Rates ==&gt;</t>
  </si>
  <si>
    <t xml:space="preserve">   Minerals</t>
  </si>
  <si>
    <t>Other</t>
  </si>
  <si>
    <t xml:space="preserve">   Facilities Repair</t>
  </si>
  <si>
    <t xml:space="preserve">   Equipment operating</t>
  </si>
  <si>
    <t xml:space="preserve">Interest rate, annual </t>
  </si>
  <si>
    <t xml:space="preserve">   Feeder Calves, steers</t>
  </si>
  <si>
    <t xml:space="preserve">   Feeder Calves, heifers</t>
  </si>
  <si>
    <t xml:space="preserve">   Feeder cattle, Heifers </t>
  </si>
  <si>
    <t>Matt Poore, Extension Beef Specialist, NCSU; Telephone (919) 515-7798</t>
  </si>
  <si>
    <t xml:space="preserve">   Feeder cattle, Steers </t>
  </si>
  <si>
    <t>TOTAL</t>
  </si>
  <si>
    <r>
      <t>PRO-RATED FIXED COSTS</t>
    </r>
    <r>
      <rPr>
        <vertAlign val="superscript"/>
        <sz val="10"/>
        <rFont val="Arial"/>
        <family val="2"/>
      </rPr>
      <t>c</t>
    </r>
  </si>
  <si>
    <t xml:space="preserve">Investment in specialized facilites &amp; equipment and pro-rated share of annual ownership expenses </t>
  </si>
  <si>
    <t>0.75 acre/head</t>
  </si>
  <si>
    <t>0.25 acre/head</t>
  </si>
  <si>
    <t>TOTAL REVENUE</t>
  </si>
  <si>
    <t xml:space="preserve">   Supplementary feed</t>
  </si>
  <si>
    <t>Head</t>
  </si>
  <si>
    <t>Lb.</t>
  </si>
  <si>
    <t xml:space="preserve">   Vet and medicine</t>
  </si>
  <si>
    <t xml:space="preserve">   Fence, water repair</t>
  </si>
  <si>
    <r>
      <t xml:space="preserve">   Summer annual pasture</t>
    </r>
    <r>
      <rPr>
        <vertAlign val="superscript"/>
        <sz val="10"/>
        <rFont val="Arial"/>
        <family val="2"/>
      </rPr>
      <t>a</t>
    </r>
  </si>
  <si>
    <r>
      <t xml:space="preserve">   Winter temporary pasture</t>
    </r>
    <r>
      <rPr>
        <vertAlign val="superscript"/>
        <sz val="10"/>
        <rFont val="Arial"/>
        <family val="2"/>
      </rPr>
      <t>a</t>
    </r>
  </si>
  <si>
    <t>BEEF FINISHING ON PASTURE</t>
  </si>
  <si>
    <t xml:space="preserve">   Average sales price required to recover operating costs, $/cwt. of pay weight</t>
  </si>
  <si>
    <t xml:space="preserve">   Average sales price required to recover total cost, $/cwt. of pay weight</t>
  </si>
  <si>
    <t xml:space="preserve">   Cost per pound of gain, $/cwt. sold</t>
  </si>
  <si>
    <r>
      <t xml:space="preserve">BEEF FINISHING ON PASTURE: </t>
    </r>
    <r>
      <rPr>
        <sz val="12"/>
        <rFont val="Arial"/>
        <family val="2"/>
      </rPr>
      <t>Estimated revenue, operating expenses,</t>
    </r>
  </si>
  <si>
    <t>Budget 21-8</t>
  </si>
  <si>
    <t>Facilities</t>
  </si>
  <si>
    <t xml:space="preserve">   Perimeter Fence</t>
  </si>
  <si>
    <t xml:space="preserve">   Water Supply</t>
  </si>
  <si>
    <t xml:space="preserve">   Corral &amp; Chute</t>
  </si>
  <si>
    <t xml:space="preserve">   Feed Bunks</t>
  </si>
  <si>
    <t>Cattle Feeding</t>
  </si>
  <si>
    <t xml:space="preserve">   Tractor</t>
  </si>
  <si>
    <t>Pasture and Cattle Mangement</t>
  </si>
  <si>
    <t xml:space="preserve">    + equipment</t>
  </si>
  <si>
    <r>
      <t xml:space="preserve">b </t>
    </r>
    <r>
      <rPr>
        <sz val="10"/>
        <rFont val="Arial"/>
        <family val="2"/>
      </rPr>
      <t>Interest on average investment = ((Initial cost + Salvage value) / 2) X interest rate specified</t>
    </r>
  </si>
  <si>
    <r>
      <t xml:space="preserve">c </t>
    </r>
    <r>
      <rPr>
        <sz val="10"/>
        <rFont val="Arial"/>
        <family val="2"/>
      </rPr>
      <t xml:space="preserve">Property taxes and insurance on facilities and equipment = Initial investment X tax + insurance rates specified.  </t>
    </r>
  </si>
  <si>
    <t xml:space="preserve">Table 2. Operating expense for machinery and equipment </t>
  </si>
  <si>
    <t xml:space="preserve">Operation </t>
  </si>
  <si>
    <t>Horse</t>
  </si>
  <si>
    <t>Repairs</t>
  </si>
  <si>
    <t>Est. Fuel</t>
  </si>
  <si>
    <t>Fuel</t>
  </si>
  <si>
    <t>Fuel &amp;</t>
  </si>
  <si>
    <t xml:space="preserve">Hours of </t>
  </si>
  <si>
    <t>Total Op.</t>
  </si>
  <si>
    <t>Labor</t>
  </si>
  <si>
    <t>and Item</t>
  </si>
  <si>
    <t>Power</t>
  </si>
  <si>
    <r>
      <t>&amp; Maint.</t>
    </r>
    <r>
      <rPr>
        <b/>
        <vertAlign val="superscript"/>
        <sz val="10"/>
        <rFont val="Arial"/>
        <family val="2"/>
      </rPr>
      <t>a</t>
    </r>
  </si>
  <si>
    <t>&amp; Maint.</t>
  </si>
  <si>
    <t>Use</t>
  </si>
  <si>
    <r>
      <t>Lube</t>
    </r>
    <r>
      <rPr>
        <b/>
        <vertAlign val="superscript"/>
        <sz val="10"/>
        <rFont val="Arial"/>
        <family val="2"/>
      </rPr>
      <t>b</t>
    </r>
  </si>
  <si>
    <t>Use/Year</t>
  </si>
  <si>
    <t>Cost/Year</t>
  </si>
  <si>
    <r>
      <t>Cost</t>
    </r>
    <r>
      <rPr>
        <b/>
        <vertAlign val="superscript"/>
        <sz val="10"/>
        <rFont val="Arial"/>
        <family val="2"/>
      </rPr>
      <t>c</t>
    </r>
  </si>
  <si>
    <t>Expense</t>
  </si>
  <si>
    <t>$/Year</t>
  </si>
  <si>
    <t>Gals/hr</t>
  </si>
  <si>
    <t>$/Hour</t>
  </si>
  <si>
    <t>Hours</t>
  </si>
  <si>
    <t>Fuel cost per gallon &amp; Labor cost per hour ====&gt;</t>
  </si>
  <si>
    <r>
      <t xml:space="preserve">a </t>
    </r>
    <r>
      <rPr>
        <sz val="10"/>
        <rFont val="Arial"/>
        <family val="2"/>
      </rPr>
      <t xml:space="preserve">Repairs and maintenance costs are calculated as a % of the initial cost in Table 1.  Percentages are higher for equipment that is bought used. </t>
    </r>
  </si>
  <si>
    <r>
      <t xml:space="preserve">c </t>
    </r>
    <r>
      <rPr>
        <sz val="10"/>
        <rFont val="Arial"/>
        <family val="2"/>
      </rPr>
      <t>Labor cost or charge includes an additional 15% allowance for inspection, equipment adjustments, cleaning up, travel. etc.  Include labor</t>
    </r>
  </si>
  <si>
    <t>that does not require equipment as "Livestock labor" directly in the budget, e..g, working cattle, moving fence, checking cattle.</t>
  </si>
  <si>
    <t>From Table 2</t>
  </si>
  <si>
    <t xml:space="preserve">   Machinery operator labor, From Table 2</t>
  </si>
  <si>
    <t>Work, check cattle</t>
  </si>
  <si>
    <t xml:space="preserve">   Other</t>
  </si>
  <si>
    <r>
      <t>GROSS REVENUE</t>
    </r>
    <r>
      <rPr>
        <vertAlign val="superscript"/>
        <sz val="10"/>
        <rFont val="Arial"/>
        <family val="2"/>
      </rPr>
      <t>d</t>
    </r>
  </si>
  <si>
    <r>
      <t xml:space="preserve">a   </t>
    </r>
    <r>
      <rPr>
        <sz val="10"/>
        <rFont val="Arial"/>
        <family val="2"/>
      </rPr>
      <t>Pasture costs are taken from budgets, 87-2, 88-8 and 88-9.  Annual pastures are double cropped.</t>
    </r>
  </si>
  <si>
    <r>
      <t xml:space="preserve">b  </t>
    </r>
    <r>
      <rPr>
        <sz val="10"/>
        <rFont val="Arial"/>
        <family val="2"/>
      </rPr>
      <t>Interest calculated on full cattle purchase cost and 1/2 of other costs, except sales expense.</t>
    </r>
  </si>
  <si>
    <r>
      <t xml:space="preserve">c   </t>
    </r>
    <r>
      <rPr>
        <sz val="10"/>
        <rFont val="Arial"/>
        <family val="2"/>
      </rPr>
      <t>Assumes the annual cost of the facilities is shared and  pro-rated to this enterprise.</t>
    </r>
  </si>
  <si>
    <r>
      <t xml:space="preserve">d   </t>
    </r>
    <r>
      <rPr>
        <sz val="10"/>
        <rFont val="Arial"/>
        <family val="0"/>
      </rPr>
      <t>Cattle prices vary and are affected by the cattle cycle, time of year, weight, frame, fleshiness, breed and market.</t>
    </r>
  </si>
  <si>
    <t xml:space="preserve">   Fence and facilities, from Table 1</t>
  </si>
  <si>
    <t xml:space="preserve">   Machine &amp; equipment, livestock, from Table 1</t>
  </si>
  <si>
    <r>
      <t xml:space="preserve">   Perennial pasture establishment, from Table 1</t>
    </r>
    <r>
      <rPr>
        <vertAlign val="superscript"/>
        <sz val="10"/>
        <rFont val="Arial"/>
        <family val="2"/>
      </rPr>
      <t xml:space="preserve">a </t>
    </r>
  </si>
  <si>
    <t>Comments</t>
  </si>
  <si>
    <r>
      <t xml:space="preserve">e   </t>
    </r>
    <r>
      <rPr>
        <sz val="10"/>
        <rFont val="Arial"/>
        <family val="0"/>
      </rPr>
      <t>2% death loss.  Sale weight is 1100 lbs. less 2% shrink = 1078 lbs/head.</t>
    </r>
  </si>
  <si>
    <t>1/2 T Pickup or 4-Wheeler</t>
  </si>
  <si>
    <r>
      <t xml:space="preserve">b </t>
    </r>
    <r>
      <rPr>
        <sz val="10"/>
        <rFont val="Arial"/>
        <family val="2"/>
      </rPr>
      <t>Fuel cost is based on engine horsepower plus lube costs estimated as 15% of the fuel cost.</t>
    </r>
  </si>
  <si>
    <t xml:space="preserve">   Perm. Internal Fence</t>
  </si>
  <si>
    <t xml:space="preserve">   Temp. Electric Fence</t>
  </si>
  <si>
    <t>pastures, with a starting weight of 575 lb. gaining 1.5 lb/day for 350 days</t>
  </si>
  <si>
    <t>75 head at 575 lb.</t>
  </si>
  <si>
    <r>
      <t xml:space="preserve">   Mach. &amp; equip., summer annual pastures</t>
    </r>
    <r>
      <rPr>
        <vertAlign val="superscript"/>
        <sz val="10"/>
        <rFont val="Arial"/>
        <family val="2"/>
      </rPr>
      <t>a</t>
    </r>
  </si>
  <si>
    <r>
      <t xml:space="preserve">   Mach. &amp; equip., winter annual pastures</t>
    </r>
    <r>
      <rPr>
        <vertAlign val="superscript"/>
        <sz val="10"/>
        <rFont val="Arial"/>
        <family val="2"/>
      </rPr>
      <t>a</t>
    </r>
  </si>
  <si>
    <r>
      <t>73.5 head at 1078 lb</t>
    </r>
    <r>
      <rPr>
        <vertAlign val="superscript"/>
        <sz val="10"/>
        <rFont val="Arial"/>
        <family val="2"/>
      </rPr>
      <t>e</t>
    </r>
  </si>
  <si>
    <t xml:space="preserve">    + bushhog</t>
  </si>
  <si>
    <r>
      <t xml:space="preserve">   Perennial Pasture</t>
    </r>
    <r>
      <rPr>
        <vertAlign val="superscript"/>
        <sz val="10"/>
        <rFont val="Arial"/>
        <family val="2"/>
      </rPr>
      <t>a</t>
    </r>
  </si>
  <si>
    <t xml:space="preserve">prorated fixed costs and returns to land, overhead &amp; management </t>
  </si>
  <si>
    <t xml:space="preserve">for 75 head of cattle finished on 75 acres of temporary and permanent </t>
  </si>
  <si>
    <t xml:space="preserve">   Perennial Pasture</t>
  </si>
  <si>
    <t>Pasture establishment</t>
  </si>
  <si>
    <t>Prepared by Geoff Benson, Extension Economist, NCSU (Retired)</t>
  </si>
  <si>
    <r>
      <t>Enterprise</t>
    </r>
    <r>
      <rPr>
        <b/>
        <vertAlign val="superscript"/>
        <sz val="10"/>
        <rFont val="Arial"/>
        <family val="2"/>
      </rPr>
      <t>d</t>
    </r>
  </si>
  <si>
    <r>
      <t xml:space="preserve">e </t>
    </r>
    <r>
      <rPr>
        <sz val="10"/>
        <rFont val="Arial"/>
        <family val="2"/>
      </rPr>
      <t>Pasture establishment costs are from Budget 87-1, NCSU Forage Enterprise Budgets</t>
    </r>
  </si>
  <si>
    <r>
      <t>Pasture establishment</t>
    </r>
    <r>
      <rPr>
        <vertAlign val="superscript"/>
        <sz val="10"/>
        <rFont val="Arial"/>
        <family val="2"/>
      </rPr>
      <t>e</t>
    </r>
  </si>
  <si>
    <r>
      <t xml:space="preserve">d </t>
    </r>
    <r>
      <rPr>
        <sz val="10"/>
        <rFont val="Arial"/>
        <family val="2"/>
      </rPr>
      <t>Facilities and equipment might be shared with other enterprises.  Cost share might be available to offset some investment costs.</t>
    </r>
  </si>
  <si>
    <t>Hay, byproducts</t>
  </si>
  <si>
    <t>Dec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</si>
</sst>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0000"/>
    <numFmt numFmtId="166" formatCode="0.0000"/>
    <numFmt numFmtId="167" formatCode="0.000"/>
    <numFmt numFmtId="168" formatCode="0.0"/>
    <numFmt numFmtId="169" formatCode="&quot;$&quot;#,##0.00"/>
    <numFmt numFmtId="170" formatCode="#,##0.0"/>
    <numFmt numFmtId="171" formatCode="&quot;$&quot;#,##0"/>
    <numFmt numFmtId="172" formatCode="0.0%"/>
    <numFmt numFmtId="173" formatCode="&quot;$&quot;#,##0.0"/>
    <numFmt numFmtId="174" formatCode="&quot;$&quot;#,##0.000_);\(&quot;$&quot;#,##0.0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left"/>
    </xf>
    <xf numFmtId="7" fontId="0" fillId="0" borderId="0" xfId="0" applyNumberFormat="1" applyBorder="1" applyAlignment="1">
      <alignment/>
    </xf>
    <xf numFmtId="0" fontId="4" fillId="0" borderId="0" xfId="0" applyFont="1" applyBorder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7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7" fontId="0" fillId="0" borderId="0" xfId="0" applyNumberFormat="1" applyFont="1" applyAlignment="1">
      <alignment horizontal="right"/>
    </xf>
    <xf numFmtId="0" fontId="4" fillId="0" borderId="0" xfId="0" applyFont="1" applyBorder="1" applyAlignment="1" quotePrefix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0" xfId="0" applyNumberFormat="1" applyAlignment="1" quotePrefix="1">
      <alignment horizontal="lef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ill="1" applyBorder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7" fontId="0" fillId="0" borderId="0" xfId="0" applyNumberForma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3" fontId="0" fillId="0" borderId="0" xfId="0" applyNumberFormat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0" xfId="0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 applyProtection="1" quotePrefix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 quotePrefix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7" fontId="0" fillId="33" borderId="0" xfId="0" applyNumberFormat="1" applyFill="1" applyBorder="1" applyAlignment="1" applyProtection="1">
      <alignment horizontal="right"/>
      <protection locked="0"/>
    </xf>
    <xf numFmtId="7" fontId="0" fillId="33" borderId="0" xfId="0" applyNumberForma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 horizontal="right"/>
      <protection locked="0"/>
    </xf>
    <xf numFmtId="10" fontId="0" fillId="33" borderId="0" xfId="0" applyNumberFormat="1" applyFill="1" applyBorder="1" applyAlignment="1" applyProtection="1">
      <alignment horizontal="right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9" fontId="0" fillId="33" borderId="0" xfId="0" applyNumberFormat="1" applyFill="1" applyBorder="1" applyAlignment="1" applyProtection="1">
      <alignment horizontal="right"/>
      <protection locked="0"/>
    </xf>
    <xf numFmtId="9" fontId="0" fillId="33" borderId="0" xfId="0" applyNumberFormat="1" applyFill="1" applyBorder="1" applyAlignment="1" applyProtection="1" quotePrefix="1">
      <alignment horizontal="right"/>
      <protection locked="0"/>
    </xf>
    <xf numFmtId="9" fontId="0" fillId="33" borderId="0" xfId="0" applyNumberFormat="1" applyFill="1" applyAlignment="1" applyProtection="1">
      <alignment horizontal="center"/>
      <protection locked="0"/>
    </xf>
    <xf numFmtId="172" fontId="0" fillId="33" borderId="0" xfId="0" applyNumberFormat="1" applyFill="1" applyAlignment="1" applyProtection="1">
      <alignment horizontal="center"/>
      <protection locked="0"/>
    </xf>
    <xf numFmtId="172" fontId="0" fillId="33" borderId="0" xfId="0" applyNumberFormat="1" applyFill="1" applyAlignment="1" applyProtection="1">
      <alignment/>
      <protection locked="0"/>
    </xf>
    <xf numFmtId="10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right"/>
      <protection locked="0"/>
    </xf>
    <xf numFmtId="0" fontId="1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" fontId="0" fillId="33" borderId="0" xfId="0" applyNumberFormat="1" applyFont="1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9" fontId="0" fillId="33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35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9" fontId="0" fillId="0" borderId="0" xfId="0" applyNumberForma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7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72" fontId="0" fillId="0" borderId="0" xfId="0" applyNumberForma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 locked="0"/>
    </xf>
    <xf numFmtId="168" fontId="0" fillId="33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170" fontId="0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170" fontId="0" fillId="34" borderId="0" xfId="0" applyNumberFormat="1" applyFill="1" applyBorder="1" applyAlignment="1" applyProtection="1">
      <alignment/>
      <protection locked="0"/>
    </xf>
    <xf numFmtId="170" fontId="0" fillId="33" borderId="0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33" borderId="0" xfId="0" applyFont="1" applyFill="1" applyAlignment="1" applyProtection="1" quotePrefix="1">
      <alignment horizontal="left"/>
      <protection locked="0"/>
    </xf>
    <xf numFmtId="0" fontId="0" fillId="33" borderId="0" xfId="0" applyFont="1" applyFill="1" applyBorder="1" applyAlignment="1" applyProtection="1" quotePrefix="1">
      <alignment horizontal="left"/>
      <protection locked="0"/>
    </xf>
    <xf numFmtId="0" fontId="0" fillId="0" borderId="0" xfId="0" applyFont="1" applyBorder="1" applyAlignment="1">
      <alignment/>
    </xf>
    <xf numFmtId="170" fontId="0" fillId="0" borderId="0" xfId="0" applyNumberFormat="1" applyFill="1" applyBorder="1" applyAlignment="1" applyProtection="1">
      <alignment/>
      <protection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1000125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647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80" zoomScaleNormal="80"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24.7109375" style="0" customWidth="1"/>
    <col min="2" max="2" width="19.57421875" style="0" customWidth="1"/>
    <col min="3" max="3" width="8.140625" style="0" customWidth="1"/>
    <col min="4" max="4" width="8.8515625" style="0" customWidth="1"/>
    <col min="5" max="5" width="8.7109375" style="0" customWidth="1"/>
    <col min="6" max="6" width="10.57421875" style="16" customWidth="1"/>
    <col min="7" max="7" width="12.8515625" style="12" customWidth="1"/>
    <col min="8" max="8" width="2.28125" style="0" customWidth="1"/>
    <col min="9" max="9" width="20.421875" style="0" customWidth="1"/>
    <col min="11" max="11" width="10.7109375" style="0" bestFit="1" customWidth="1"/>
    <col min="13" max="13" width="10.28125" style="0" bestFit="1" customWidth="1"/>
    <col min="15" max="15" width="9.7109375" style="0" bestFit="1" customWidth="1"/>
    <col min="17" max="17" width="10.8515625" style="0" customWidth="1"/>
    <col min="18" max="18" width="11.421875" style="0" customWidth="1"/>
  </cols>
  <sheetData>
    <row r="1" spans="1:7" ht="24" customHeight="1">
      <c r="A1" s="149"/>
      <c r="B1" s="149"/>
      <c r="C1" s="149"/>
      <c r="D1" s="149"/>
      <c r="E1" s="149"/>
      <c r="F1" s="150"/>
      <c r="G1" s="151"/>
    </row>
    <row r="2" spans="1:7" ht="18" customHeight="1">
      <c r="A2" s="1" t="s">
        <v>85</v>
      </c>
      <c r="G2" s="122" t="s">
        <v>86</v>
      </c>
    </row>
    <row r="3" spans="1:7" ht="15" customHeight="1">
      <c r="A3" s="153" t="s">
        <v>151</v>
      </c>
      <c r="B3" s="128"/>
      <c r="C3" s="128"/>
      <c r="D3" s="128"/>
      <c r="E3" s="128"/>
      <c r="F3" s="154"/>
      <c r="G3" s="155" t="s">
        <v>161</v>
      </c>
    </row>
    <row r="4" spans="1:7" ht="15">
      <c r="A4" s="95" t="s">
        <v>152</v>
      </c>
      <c r="B4" s="93"/>
      <c r="C4" s="93"/>
      <c r="D4" s="93"/>
      <c r="E4" s="93"/>
      <c r="F4" s="96"/>
      <c r="G4" s="123"/>
    </row>
    <row r="5" spans="1:7" ht="15">
      <c r="A5" s="143" t="s">
        <v>144</v>
      </c>
      <c r="B5" s="93"/>
      <c r="C5" s="93"/>
      <c r="D5" s="93"/>
      <c r="E5" s="93"/>
      <c r="F5" s="96"/>
      <c r="G5" s="123"/>
    </row>
    <row r="6" spans="1:7" ht="15" customHeight="1">
      <c r="A6" s="24" t="s">
        <v>0</v>
      </c>
      <c r="B6" s="24" t="s">
        <v>8</v>
      </c>
      <c r="C6" s="23" t="s">
        <v>9</v>
      </c>
      <c r="D6" s="23" t="s">
        <v>10</v>
      </c>
      <c r="E6" s="23" t="s">
        <v>11</v>
      </c>
      <c r="F6" s="23" t="s">
        <v>12</v>
      </c>
      <c r="G6" s="23" t="s">
        <v>138</v>
      </c>
    </row>
    <row r="7" spans="1:6" ht="15" customHeight="1">
      <c r="A7" s="11" t="s">
        <v>28</v>
      </c>
      <c r="B7" s="2"/>
      <c r="C7" s="3"/>
      <c r="D7" s="5"/>
      <c r="E7" s="2"/>
      <c r="F7" s="18"/>
    </row>
    <row r="8" spans="1:7" ht="12.75">
      <c r="A8" s="4" t="s">
        <v>63</v>
      </c>
      <c r="B8" s="144" t="s">
        <v>145</v>
      </c>
      <c r="C8" s="63" t="s">
        <v>18</v>
      </c>
      <c r="D8" s="79">
        <v>159</v>
      </c>
      <c r="E8" s="139">
        <f>75*5.75</f>
        <v>431.25</v>
      </c>
      <c r="F8" s="38">
        <f aca="true" t="shared" si="0" ref="F8:F18">+D8*E8</f>
        <v>68568.75</v>
      </c>
      <c r="G8" s="70" t="s">
        <v>19</v>
      </c>
    </row>
    <row r="9" spans="1:7" ht="12.75">
      <c r="A9" s="4" t="s">
        <v>64</v>
      </c>
      <c r="B9" s="76"/>
      <c r="C9" s="63" t="s">
        <v>18</v>
      </c>
      <c r="D9" s="79"/>
      <c r="E9" s="140">
        <v>0</v>
      </c>
      <c r="F9" s="38">
        <f t="shared" si="0"/>
        <v>0</v>
      </c>
      <c r="G9" s="70" t="s">
        <v>19</v>
      </c>
    </row>
    <row r="10" spans="1:7" ht="14.25">
      <c r="A10" s="4" t="s">
        <v>150</v>
      </c>
      <c r="B10" s="75" t="s">
        <v>71</v>
      </c>
      <c r="C10" s="63" t="s">
        <v>20</v>
      </c>
      <c r="D10" s="79">
        <v>116.46</v>
      </c>
      <c r="E10" s="140">
        <v>50</v>
      </c>
      <c r="F10" s="39">
        <f t="shared" si="0"/>
        <v>5823</v>
      </c>
      <c r="G10" s="70" t="s">
        <v>19</v>
      </c>
    </row>
    <row r="11" spans="1:7" ht="12.75">
      <c r="A11" s="4" t="s">
        <v>153</v>
      </c>
      <c r="B11" s="75"/>
      <c r="C11" s="63" t="s">
        <v>20</v>
      </c>
      <c r="D11" s="79"/>
      <c r="E11" s="140">
        <v>0</v>
      </c>
      <c r="F11" s="39">
        <f>+D11*E11</f>
        <v>0</v>
      </c>
      <c r="G11" s="70" t="s">
        <v>19</v>
      </c>
    </row>
    <row r="12" spans="1:7" ht="14.25">
      <c r="A12" s="4" t="s">
        <v>79</v>
      </c>
      <c r="B12" s="75" t="s">
        <v>72</v>
      </c>
      <c r="C12" s="63" t="s">
        <v>20</v>
      </c>
      <c r="D12" s="79">
        <v>273.61</v>
      </c>
      <c r="E12" s="140">
        <v>25</v>
      </c>
      <c r="F12" s="39">
        <f t="shared" si="0"/>
        <v>6840.25</v>
      </c>
      <c r="G12" s="70" t="s">
        <v>19</v>
      </c>
    </row>
    <row r="13" spans="1:7" ht="14.25">
      <c r="A13" s="4" t="s">
        <v>80</v>
      </c>
      <c r="B13" s="75" t="s">
        <v>72</v>
      </c>
      <c r="C13" s="63" t="s">
        <v>20</v>
      </c>
      <c r="D13" s="79">
        <v>216.11</v>
      </c>
      <c r="E13" s="140">
        <v>25</v>
      </c>
      <c r="F13" s="39">
        <f t="shared" si="0"/>
        <v>5402.75</v>
      </c>
      <c r="G13" s="70" t="s">
        <v>19</v>
      </c>
    </row>
    <row r="14" spans="1:7" ht="12.75">
      <c r="A14" s="2" t="s">
        <v>74</v>
      </c>
      <c r="B14" s="76" t="s">
        <v>160</v>
      </c>
      <c r="C14" s="63" t="s">
        <v>75</v>
      </c>
      <c r="D14" s="79">
        <v>50</v>
      </c>
      <c r="E14" s="139">
        <f>75*0.98</f>
        <v>73.5</v>
      </c>
      <c r="F14" s="39">
        <f t="shared" si="0"/>
        <v>3675</v>
      </c>
      <c r="G14" s="70" t="s">
        <v>19</v>
      </c>
    </row>
    <row r="15" spans="1:7" ht="12.75">
      <c r="A15" s="152" t="s">
        <v>58</v>
      </c>
      <c r="B15" s="77"/>
      <c r="C15" s="63" t="s">
        <v>76</v>
      </c>
      <c r="D15" s="80">
        <v>0.3</v>
      </c>
      <c r="E15" s="84">
        <f>75*0.98*0.15*330</f>
        <v>3638.25</v>
      </c>
      <c r="F15" s="39">
        <f t="shared" si="0"/>
        <v>1091.475</v>
      </c>
      <c r="G15" s="70" t="s">
        <v>19</v>
      </c>
    </row>
    <row r="16" spans="1:7" ht="12.75">
      <c r="A16" s="2" t="s">
        <v>77</v>
      </c>
      <c r="B16" s="75"/>
      <c r="C16" s="63" t="s">
        <v>75</v>
      </c>
      <c r="D16" s="79">
        <v>10</v>
      </c>
      <c r="E16" s="139">
        <f>75*0.98</f>
        <v>73.5</v>
      </c>
      <c r="F16" s="39">
        <f t="shared" si="0"/>
        <v>735</v>
      </c>
      <c r="G16" s="70" t="s">
        <v>19</v>
      </c>
    </row>
    <row r="17" spans="1:7" ht="12.75">
      <c r="A17" s="2" t="s">
        <v>78</v>
      </c>
      <c r="B17" s="78" t="s">
        <v>56</v>
      </c>
      <c r="C17" s="63" t="s">
        <v>55</v>
      </c>
      <c r="D17" s="81">
        <v>0.08</v>
      </c>
      <c r="E17" s="35">
        <f>(BeefPastFinFixedCost!C9*BeefPastFinFixedCost!I9)+(BeefPastFinFixedCost!C10*BeefPastFinFixedCost!I10)+(BeefPastFinFixedCost!C12*BeefPastFinFixedCost!I12)</f>
        <v>42975</v>
      </c>
      <c r="F17" s="39">
        <f t="shared" si="0"/>
        <v>3438</v>
      </c>
      <c r="G17" s="70" t="s">
        <v>19</v>
      </c>
    </row>
    <row r="18" spans="1:7" ht="12.75">
      <c r="A18" s="2" t="s">
        <v>60</v>
      </c>
      <c r="B18" s="78" t="s">
        <v>56</v>
      </c>
      <c r="C18" s="63" t="s">
        <v>55</v>
      </c>
      <c r="D18" s="81">
        <v>0.01</v>
      </c>
      <c r="E18" s="35">
        <f>(BeefPastFinFixedCost!C13*BeefPastFinFixedCost!I13)+(BeefPastFinFixedCost!C14*BeefPastFinFixedCost!I14)</f>
        <v>2640</v>
      </c>
      <c r="F18" s="39">
        <f t="shared" si="0"/>
        <v>26.400000000000002</v>
      </c>
      <c r="G18" s="70" t="s">
        <v>19</v>
      </c>
    </row>
    <row r="19" spans="1:7" ht="12.75">
      <c r="A19" s="118" t="s">
        <v>61</v>
      </c>
      <c r="B19" s="118" t="s">
        <v>126</v>
      </c>
      <c r="C19" s="119"/>
      <c r="D19" s="120"/>
      <c r="E19" s="121"/>
      <c r="F19" s="39">
        <f>BeefPastFinFixedCost!J44</f>
        <v>863.496875</v>
      </c>
      <c r="G19" s="70" t="s">
        <v>19</v>
      </c>
    </row>
    <row r="20" spans="1:7" ht="12.75">
      <c r="A20" s="2" t="s">
        <v>22</v>
      </c>
      <c r="B20" s="78"/>
      <c r="C20" s="63" t="s">
        <v>75</v>
      </c>
      <c r="D20" s="79">
        <v>30</v>
      </c>
      <c r="E20" s="139">
        <f>75*0.98</f>
        <v>73.5</v>
      </c>
      <c r="F20" s="39">
        <f>+D20*E20</f>
        <v>2205</v>
      </c>
      <c r="G20" s="70" t="s">
        <v>19</v>
      </c>
    </row>
    <row r="21" spans="1:7" ht="14.25">
      <c r="A21" s="4" t="s">
        <v>23</v>
      </c>
      <c r="B21" s="75" t="s">
        <v>62</v>
      </c>
      <c r="C21" s="63" t="s">
        <v>55</v>
      </c>
      <c r="D21" s="82">
        <v>0.055</v>
      </c>
      <c r="E21" s="36">
        <f>+F8+F9+((SUM(F14:F19)*0.5))</f>
        <v>73483.4359375</v>
      </c>
      <c r="F21" s="39">
        <f>(D21/365)*(E21*330)</f>
        <v>3654.039348672946</v>
      </c>
      <c r="G21" s="70" t="s">
        <v>19</v>
      </c>
    </row>
    <row r="22" spans="6:7" ht="10.5" customHeight="1">
      <c r="F22" s="40" t="s">
        <v>19</v>
      </c>
      <c r="G22" s="70" t="s">
        <v>19</v>
      </c>
    </row>
    <row r="23" spans="1:7" ht="12.75">
      <c r="A23" s="11" t="s">
        <v>26</v>
      </c>
      <c r="B23" s="2"/>
      <c r="C23" s="3"/>
      <c r="D23" s="5"/>
      <c r="E23" s="2"/>
      <c r="F23" s="38">
        <f>SUM(F8:F21)</f>
        <v>102323.16122367294</v>
      </c>
      <c r="G23" s="70" t="s">
        <v>19</v>
      </c>
    </row>
    <row r="24" spans="1:7" ht="9" customHeight="1">
      <c r="A24" s="8"/>
      <c r="B24" s="8"/>
      <c r="C24" s="9"/>
      <c r="D24" s="10"/>
      <c r="E24" s="8"/>
      <c r="F24" s="41"/>
      <c r="G24" s="9"/>
    </row>
    <row r="25" spans="1:6" ht="14.25">
      <c r="A25" s="4" t="s">
        <v>69</v>
      </c>
      <c r="B25" s="2"/>
      <c r="C25" s="3"/>
      <c r="D25" s="5"/>
      <c r="E25" s="2"/>
      <c r="F25" s="39"/>
    </row>
    <row r="26" spans="1:7" ht="12.75">
      <c r="A26" s="2" t="s">
        <v>135</v>
      </c>
      <c r="B26" s="11"/>
      <c r="D26" s="5"/>
      <c r="E26" s="2"/>
      <c r="F26" s="42">
        <f>SUM(BeefPastFinFixedCost!J9:J15)</f>
        <v>4510.119166666667</v>
      </c>
      <c r="G26" s="70" t="s">
        <v>19</v>
      </c>
    </row>
    <row r="27" spans="1:7" ht="12.75">
      <c r="A27" s="2" t="s">
        <v>136</v>
      </c>
      <c r="B27" s="11"/>
      <c r="D27" s="5"/>
      <c r="E27" s="2"/>
      <c r="F27" s="39">
        <f>SUM(BeefPastFinFixedCost!J17:J23)</f>
        <v>927.5164166666668</v>
      </c>
      <c r="G27" s="70"/>
    </row>
    <row r="28" spans="1:7" ht="14.25">
      <c r="A28" s="145" t="s">
        <v>146</v>
      </c>
      <c r="B28" s="11"/>
      <c r="C28" s="3" t="s">
        <v>20</v>
      </c>
      <c r="D28" s="80">
        <v>11.34</v>
      </c>
      <c r="E28" s="146">
        <f>E12</f>
        <v>25</v>
      </c>
      <c r="F28" s="42">
        <f>D28*E28</f>
        <v>283.5</v>
      </c>
      <c r="G28" s="70" t="s">
        <v>19</v>
      </c>
    </row>
    <row r="29" spans="1:7" ht="14.25">
      <c r="A29" s="145" t="s">
        <v>147</v>
      </c>
      <c r="B29" s="11"/>
      <c r="C29" s="3" t="s">
        <v>20</v>
      </c>
      <c r="D29" s="80">
        <v>11.34</v>
      </c>
      <c r="E29" s="146">
        <f>E13</f>
        <v>25</v>
      </c>
      <c r="F29" s="42">
        <f>D29*E29</f>
        <v>283.5</v>
      </c>
      <c r="G29" s="70" t="s">
        <v>19</v>
      </c>
    </row>
    <row r="30" spans="1:7" ht="14.25">
      <c r="A30" s="4" t="s">
        <v>137</v>
      </c>
      <c r="B30" s="11"/>
      <c r="C30" s="3"/>
      <c r="D30" s="64"/>
      <c r="E30" s="61"/>
      <c r="F30" s="39">
        <f>BeefPastFinFixedCost!J24+BeefPastFinFixedCost!J25</f>
        <v>3071.6665357142856</v>
      </c>
      <c r="G30" s="70" t="s">
        <v>19</v>
      </c>
    </row>
    <row r="31" spans="1:7" ht="9" customHeight="1">
      <c r="A31" s="2"/>
      <c r="B31" s="2"/>
      <c r="C31" s="3"/>
      <c r="D31" s="5"/>
      <c r="E31" s="2"/>
      <c r="F31" s="40" t="s">
        <v>19</v>
      </c>
      <c r="G31" s="70" t="s">
        <v>19</v>
      </c>
    </row>
    <row r="32" spans="1:7" ht="12.75">
      <c r="A32" s="2" t="s">
        <v>27</v>
      </c>
      <c r="B32" s="2"/>
      <c r="C32" s="3"/>
      <c r="D32" s="5"/>
      <c r="E32" s="2"/>
      <c r="F32" s="39">
        <f>SUM(F26:F30)</f>
        <v>9076.302119047621</v>
      </c>
      <c r="G32" s="70" t="s">
        <v>19</v>
      </c>
    </row>
    <row r="33" spans="1:7" ht="9" customHeight="1">
      <c r="A33" s="8"/>
      <c r="B33" s="8"/>
      <c r="C33" s="9"/>
      <c r="D33" s="10"/>
      <c r="E33" s="8"/>
      <c r="F33" s="41"/>
      <c r="G33" s="9"/>
    </row>
    <row r="34" spans="1:6" ht="12.75">
      <c r="A34" s="2" t="s">
        <v>29</v>
      </c>
      <c r="B34" s="2"/>
      <c r="C34" s="3"/>
      <c r="D34" s="5"/>
      <c r="E34" s="2"/>
      <c r="F34" s="39"/>
    </row>
    <row r="35" spans="1:7" ht="12.75">
      <c r="A35" s="124" t="s">
        <v>127</v>
      </c>
      <c r="B35" s="125"/>
      <c r="C35" s="126"/>
      <c r="D35" s="127"/>
      <c r="E35" s="118"/>
      <c r="F35" s="39">
        <f>BeefPastFinFixedCost!K44</f>
        <v>786</v>
      </c>
      <c r="G35" s="70" t="s">
        <v>19</v>
      </c>
    </row>
    <row r="36" spans="1:7" ht="12.75">
      <c r="A36" s="4" t="s">
        <v>25</v>
      </c>
      <c r="B36" s="2" t="s">
        <v>128</v>
      </c>
      <c r="C36" s="3" t="s">
        <v>24</v>
      </c>
      <c r="D36" s="80">
        <v>12</v>
      </c>
      <c r="E36" s="78">
        <v>40</v>
      </c>
      <c r="F36" s="39">
        <f>+D36*E36</f>
        <v>480</v>
      </c>
      <c r="G36" s="70" t="s">
        <v>19</v>
      </c>
    </row>
    <row r="37" spans="1:7" ht="9" customHeight="1">
      <c r="A37" s="4"/>
      <c r="B37" s="2"/>
      <c r="C37" s="3"/>
      <c r="D37" s="5"/>
      <c r="E37" s="2"/>
      <c r="F37" s="40" t="s">
        <v>19</v>
      </c>
      <c r="G37" s="70" t="s">
        <v>19</v>
      </c>
    </row>
    <row r="38" spans="1:7" ht="12.75">
      <c r="A38" s="2" t="s">
        <v>51</v>
      </c>
      <c r="B38" s="2"/>
      <c r="C38" s="3"/>
      <c r="D38" s="5"/>
      <c r="E38" s="2"/>
      <c r="F38" s="39">
        <f>F35+F36</f>
        <v>1266</v>
      </c>
      <c r="G38" s="70" t="s">
        <v>19</v>
      </c>
    </row>
    <row r="39" spans="1:7" ht="9" customHeight="1">
      <c r="A39" s="2"/>
      <c r="B39" s="2"/>
      <c r="C39" s="3"/>
      <c r="D39" s="5"/>
      <c r="E39" s="2"/>
      <c r="F39" s="40" t="s">
        <v>19</v>
      </c>
      <c r="G39" s="70" t="s">
        <v>19</v>
      </c>
    </row>
    <row r="40" spans="1:7" ht="12.75">
      <c r="A40" s="11" t="s">
        <v>52</v>
      </c>
      <c r="B40" s="2"/>
      <c r="C40" s="3"/>
      <c r="D40" s="5"/>
      <c r="E40" s="2"/>
      <c r="F40" s="38">
        <f>+(F23+F32+F38)</f>
        <v>112665.46334272056</v>
      </c>
      <c r="G40" s="70" t="s">
        <v>19</v>
      </c>
    </row>
    <row r="41" spans="1:7" ht="9" customHeight="1">
      <c r="A41" s="8"/>
      <c r="B41" s="8"/>
      <c r="C41" s="8"/>
      <c r="D41" s="10"/>
      <c r="E41" s="8"/>
      <c r="F41" s="41"/>
      <c r="G41" s="9"/>
    </row>
    <row r="42" spans="1:6" ht="14.25">
      <c r="A42" s="2" t="s">
        <v>130</v>
      </c>
      <c r="B42" s="2"/>
      <c r="C42" s="3"/>
      <c r="D42" s="2"/>
      <c r="E42" s="2"/>
      <c r="F42" s="40"/>
    </row>
    <row r="43" spans="1:7" ht="14.25">
      <c r="A43" s="4" t="s">
        <v>67</v>
      </c>
      <c r="B43" s="144" t="s">
        <v>148</v>
      </c>
      <c r="C43" s="85" t="s">
        <v>18</v>
      </c>
      <c r="D43" s="80">
        <v>130</v>
      </c>
      <c r="E43" s="86">
        <f>(75*0.98*1100*0.98)/100</f>
        <v>792.33</v>
      </c>
      <c r="F43" s="38">
        <f>+(D43*E43)</f>
        <v>103002.90000000001</v>
      </c>
      <c r="G43" s="70" t="s">
        <v>19</v>
      </c>
    </row>
    <row r="44" spans="1:7" ht="12.75">
      <c r="A44" s="4" t="s">
        <v>65</v>
      </c>
      <c r="B44" s="76"/>
      <c r="C44" s="85" t="s">
        <v>18</v>
      </c>
      <c r="D44" s="80"/>
      <c r="E44" s="78"/>
      <c r="F44" s="38">
        <f>+(D44*E44)</f>
        <v>0</v>
      </c>
      <c r="G44" s="70" t="s">
        <v>19</v>
      </c>
    </row>
    <row r="45" spans="1:7" ht="9" customHeight="1">
      <c r="A45" s="4"/>
      <c r="B45" s="74"/>
      <c r="C45" s="63"/>
      <c r="D45" s="64"/>
      <c r="E45" s="61"/>
      <c r="F45" s="40" t="s">
        <v>19</v>
      </c>
      <c r="G45" s="70" t="s">
        <v>19</v>
      </c>
    </row>
    <row r="46" spans="1:7" ht="15" customHeight="1">
      <c r="A46" s="11" t="s">
        <v>73</v>
      </c>
      <c r="B46" s="62"/>
      <c r="C46" s="63"/>
      <c r="D46" s="64"/>
      <c r="E46" s="61"/>
      <c r="F46" s="38">
        <f>F43+F44</f>
        <v>103002.90000000001</v>
      </c>
      <c r="G46" s="70" t="s">
        <v>19</v>
      </c>
    </row>
    <row r="47" spans="1:7" ht="9" customHeight="1">
      <c r="A47" s="28"/>
      <c r="B47" s="28"/>
      <c r="C47" s="9"/>
      <c r="D47" s="10"/>
      <c r="E47" s="8"/>
      <c r="F47" s="37"/>
      <c r="G47" s="71"/>
    </row>
    <row r="48" spans="1:7" ht="15.75" customHeight="1">
      <c r="A48" s="11" t="s">
        <v>30</v>
      </c>
      <c r="B48" s="4"/>
      <c r="C48" s="3"/>
      <c r="D48" s="5"/>
      <c r="E48" s="2"/>
      <c r="F48" s="38">
        <f>F46-F23</f>
        <v>679.7387763270672</v>
      </c>
      <c r="G48" s="70" t="s">
        <v>19</v>
      </c>
    </row>
    <row r="49" spans="1:7" ht="14.25" customHeight="1">
      <c r="A49" s="11" t="s">
        <v>31</v>
      </c>
      <c r="B49" s="4"/>
      <c r="C49" s="3"/>
      <c r="D49" s="5"/>
      <c r="E49" s="2"/>
      <c r="F49" s="38">
        <f>F46-F23-F32</f>
        <v>-8396.563342720554</v>
      </c>
      <c r="G49" s="70" t="s">
        <v>19</v>
      </c>
    </row>
    <row r="50" spans="1:7" ht="13.5" customHeight="1">
      <c r="A50" s="11" t="s">
        <v>32</v>
      </c>
      <c r="B50" s="4"/>
      <c r="C50" s="3"/>
      <c r="D50" s="5"/>
      <c r="E50" s="2"/>
      <c r="F50" s="38">
        <f>F46-F23-F32-F38</f>
        <v>-9662.563342720554</v>
      </c>
      <c r="G50" s="70" t="s">
        <v>19</v>
      </c>
    </row>
    <row r="51" spans="1:7" ht="8.25" customHeight="1">
      <c r="A51" s="11"/>
      <c r="B51" s="4"/>
      <c r="C51" s="3"/>
      <c r="D51" s="5"/>
      <c r="E51" s="2"/>
      <c r="F51" s="22"/>
      <c r="G51" s="70"/>
    </row>
    <row r="52" spans="1:6" ht="14.25" customHeight="1">
      <c r="A52" s="27" t="s">
        <v>33</v>
      </c>
      <c r="B52" s="2"/>
      <c r="C52" s="3"/>
      <c r="D52" s="5"/>
      <c r="E52" s="2"/>
      <c r="F52" s="18"/>
    </row>
    <row r="53" spans="1:7" ht="14.25" customHeight="1">
      <c r="A53" s="4" t="s">
        <v>82</v>
      </c>
      <c r="B53" s="2"/>
      <c r="C53" s="2"/>
      <c r="D53" s="2"/>
      <c r="E53" s="2"/>
      <c r="F53" s="18">
        <f>+F23/(E43+E44)</f>
        <v>129.14210142702274</v>
      </c>
      <c r="G53" s="70" t="s">
        <v>19</v>
      </c>
    </row>
    <row r="54" spans="1:7" ht="12.75" customHeight="1">
      <c r="A54" s="4" t="s">
        <v>83</v>
      </c>
      <c r="B54" s="2"/>
      <c r="C54" s="2"/>
      <c r="D54" s="2"/>
      <c r="E54" s="2"/>
      <c r="F54" s="18">
        <f>F40/(E43+E44)</f>
        <v>142.19512493875095</v>
      </c>
      <c r="G54" s="70" t="s">
        <v>19</v>
      </c>
    </row>
    <row r="55" spans="1:7" ht="13.5" customHeight="1">
      <c r="A55" s="4" t="s">
        <v>84</v>
      </c>
      <c r="B55" s="2"/>
      <c r="C55" s="2"/>
      <c r="D55" s="2"/>
      <c r="E55" s="2"/>
      <c r="F55" s="18">
        <f>(F23-F8-F9+F32+F38)/(((E43-E8)+(E44-E9))*100)</f>
        <v>1.221244969057288</v>
      </c>
      <c r="G55" s="70" t="s">
        <v>19</v>
      </c>
    </row>
    <row r="56" spans="1:7" ht="8.25" customHeight="1" thickBot="1">
      <c r="A56" s="19"/>
      <c r="B56" s="20"/>
      <c r="C56" s="20"/>
      <c r="D56" s="20"/>
      <c r="E56" s="20"/>
      <c r="F56" s="21"/>
      <c r="G56" s="72"/>
    </row>
    <row r="57" spans="1:6" ht="15" customHeight="1" thickTop="1">
      <c r="A57" s="6" t="s">
        <v>131</v>
      </c>
      <c r="B57" s="2"/>
      <c r="C57" s="2"/>
      <c r="D57" s="2"/>
      <c r="E57" s="2"/>
      <c r="F57" s="17"/>
    </row>
    <row r="58" spans="1:6" ht="13.5" customHeight="1">
      <c r="A58" s="6" t="s">
        <v>132</v>
      </c>
      <c r="B58" s="2"/>
      <c r="C58" s="2"/>
      <c r="D58" s="2"/>
      <c r="E58" s="2"/>
      <c r="F58" s="17"/>
    </row>
    <row r="59" spans="1:6" ht="14.25">
      <c r="A59" s="6" t="s">
        <v>133</v>
      </c>
      <c r="B59" s="2"/>
      <c r="C59" s="2"/>
      <c r="D59" s="2"/>
      <c r="E59" s="2"/>
      <c r="F59" s="17"/>
    </row>
    <row r="60" spans="1:6" ht="14.25" customHeight="1">
      <c r="A60" s="26" t="s">
        <v>134</v>
      </c>
      <c r="B60" s="2"/>
      <c r="C60" s="2"/>
      <c r="D60" s="2"/>
      <c r="E60" s="2"/>
      <c r="F60" s="17"/>
    </row>
    <row r="61" spans="1:6" ht="14.25" customHeight="1">
      <c r="A61" s="26" t="s">
        <v>139</v>
      </c>
      <c r="B61" s="2"/>
      <c r="C61" s="2"/>
      <c r="D61" s="2"/>
      <c r="E61" s="2"/>
      <c r="F61" s="17"/>
    </row>
    <row r="62" ht="9" customHeight="1"/>
    <row r="63" spans="1:7" ht="14.25" customHeight="1">
      <c r="A63" s="156" t="s">
        <v>155</v>
      </c>
      <c r="B63" s="31"/>
      <c r="C63" s="31"/>
      <c r="D63" s="31"/>
      <c r="E63" s="31"/>
      <c r="F63" s="32"/>
      <c r="G63" s="73"/>
    </row>
    <row r="64" spans="1:7" ht="12.75">
      <c r="A64" s="33" t="s">
        <v>66</v>
      </c>
      <c r="B64" s="31"/>
      <c r="C64" s="31"/>
      <c r="D64" s="31"/>
      <c r="E64" s="31"/>
      <c r="F64" s="32"/>
      <c r="G64" s="73"/>
    </row>
  </sheetData>
  <sheetProtection sheet="1" selectLockedCells="1"/>
  <printOptions horizontalCentered="1"/>
  <pageMargins left="0.53" right="0.51" top="0.58" bottom="0.43" header="0.46" footer="0.38"/>
  <pageSetup horizontalDpi="300" verticalDpi="300" orientation="portrait" scale="85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="80" zoomScaleNormal="80" zoomScalePageLayoutView="0" workbookViewId="0" topLeftCell="A1">
      <selection activeCell="F7" sqref="F7"/>
    </sheetView>
  </sheetViews>
  <sheetFormatPr defaultColWidth="9.140625" defaultRowHeight="12.75"/>
  <cols>
    <col min="1" max="1" width="23.140625" style="0" customWidth="1"/>
    <col min="2" max="2" width="8.57421875" style="0" customWidth="1"/>
    <col min="3" max="3" width="9.7109375" style="0" bestFit="1" customWidth="1"/>
    <col min="4" max="4" width="9.421875" style="0" bestFit="1" customWidth="1"/>
    <col min="5" max="5" width="10.57421875" style="0" customWidth="1"/>
    <col min="6" max="8" width="9.421875" style="0" bestFit="1" customWidth="1"/>
    <col min="9" max="10" width="11.57421875" style="0" customWidth="1"/>
    <col min="11" max="12" width="9.421875" style="0" bestFit="1" customWidth="1"/>
  </cols>
  <sheetData>
    <row r="1" spans="1:12" ht="15.75">
      <c r="A1" s="1" t="s">
        <v>81</v>
      </c>
      <c r="L1" s="16" t="str">
        <f>'BeefFinishPasture21-8'!G2</f>
        <v>Budget 21-8</v>
      </c>
    </row>
    <row r="2" ht="12.75">
      <c r="L2" s="25" t="str">
        <f>'BeefFinishPasture21-8'!G3</f>
        <v>Dec 2013</v>
      </c>
    </row>
    <row r="3" spans="1:6" ht="12.75">
      <c r="A3" s="65" t="s">
        <v>70</v>
      </c>
      <c r="B3" s="2"/>
      <c r="C3" s="2"/>
      <c r="D3" s="2"/>
      <c r="E3" s="2"/>
      <c r="F3" s="2"/>
    </row>
    <row r="4" spans="1:10" ht="14.25">
      <c r="A4" s="66" t="s">
        <v>0</v>
      </c>
      <c r="B4" s="66" t="s">
        <v>1</v>
      </c>
      <c r="C4" s="66" t="s">
        <v>2</v>
      </c>
      <c r="D4" s="66" t="s">
        <v>3</v>
      </c>
      <c r="E4" s="67" t="s">
        <v>4</v>
      </c>
      <c r="F4" s="67" t="s">
        <v>5</v>
      </c>
      <c r="G4" s="66" t="s">
        <v>6</v>
      </c>
      <c r="H4" s="66" t="s">
        <v>7</v>
      </c>
      <c r="I4" s="54" t="s">
        <v>53</v>
      </c>
      <c r="J4" s="54" t="s">
        <v>53</v>
      </c>
    </row>
    <row r="5" spans="1:10" ht="14.25">
      <c r="A5" s="7"/>
      <c r="B5" s="7"/>
      <c r="C5" s="7" t="s">
        <v>13</v>
      </c>
      <c r="D5" s="7" t="s">
        <v>12</v>
      </c>
      <c r="E5" s="13" t="s">
        <v>14</v>
      </c>
      <c r="F5" s="7"/>
      <c r="G5" s="13" t="s">
        <v>15</v>
      </c>
      <c r="H5" s="7"/>
      <c r="I5" s="55" t="s">
        <v>156</v>
      </c>
      <c r="J5" s="55" t="s">
        <v>54</v>
      </c>
    </row>
    <row r="6" spans="1:10" ht="12.75">
      <c r="A6" s="2"/>
      <c r="B6" s="12" t="s">
        <v>16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55</v>
      </c>
      <c r="J6" s="12" t="s">
        <v>17</v>
      </c>
    </row>
    <row r="7" spans="1:7" ht="12.75">
      <c r="A7" t="s">
        <v>57</v>
      </c>
      <c r="F7" s="91">
        <v>0.055</v>
      </c>
      <c r="G7" s="92">
        <v>0.014</v>
      </c>
    </row>
    <row r="8" spans="1:10" ht="12.75">
      <c r="A8" s="128" t="s">
        <v>87</v>
      </c>
      <c r="B8" s="128"/>
      <c r="C8" s="128"/>
      <c r="D8" s="128"/>
      <c r="E8" s="128"/>
      <c r="F8" s="129"/>
      <c r="G8" s="130"/>
      <c r="H8" s="128"/>
      <c r="I8" s="128"/>
      <c r="J8" s="128"/>
    </row>
    <row r="9" spans="1:10" ht="12.75">
      <c r="A9" t="s">
        <v>88</v>
      </c>
      <c r="B9" s="93">
        <v>25</v>
      </c>
      <c r="C9" s="94">
        <v>18800</v>
      </c>
      <c r="D9" s="94">
        <v>0</v>
      </c>
      <c r="E9" s="34">
        <f aca="true" t="shared" si="0" ref="E9:E15">+(C9-D9)/B9</f>
        <v>752</v>
      </c>
      <c r="F9" s="34">
        <f>((C9-E9)/2)*$F$7</f>
        <v>496.32</v>
      </c>
      <c r="G9" s="34">
        <f aca="true" t="shared" si="1" ref="G9:G15">C9*$G$7</f>
        <v>263.2</v>
      </c>
      <c r="H9" s="34">
        <f aca="true" t="shared" si="2" ref="H9:H15">SUM(E9:G9)</f>
        <v>1511.52</v>
      </c>
      <c r="I9" s="90">
        <v>1</v>
      </c>
      <c r="J9" s="68">
        <f aca="true" t="shared" si="3" ref="J9:J15">H9*I9</f>
        <v>1511.52</v>
      </c>
    </row>
    <row r="10" spans="1:10" ht="12.75">
      <c r="A10" s="142" t="s">
        <v>142</v>
      </c>
      <c r="B10" s="93">
        <v>25</v>
      </c>
      <c r="C10" s="94">
        <v>13000</v>
      </c>
      <c r="D10" s="94">
        <v>0</v>
      </c>
      <c r="E10" s="34">
        <f t="shared" si="0"/>
        <v>520</v>
      </c>
      <c r="F10" s="34">
        <f>((C10-E10)/2)*$F$7</f>
        <v>343.2</v>
      </c>
      <c r="G10" s="34">
        <f t="shared" si="1"/>
        <v>182</v>
      </c>
      <c r="H10" s="34">
        <f t="shared" si="2"/>
        <v>1045.2</v>
      </c>
      <c r="I10" s="90">
        <v>1</v>
      </c>
      <c r="J10" s="68">
        <f t="shared" si="3"/>
        <v>1045.2</v>
      </c>
    </row>
    <row r="11" spans="1:10" ht="12.75">
      <c r="A11" s="142" t="s">
        <v>143</v>
      </c>
      <c r="B11" s="93">
        <v>3</v>
      </c>
      <c r="C11" s="94">
        <v>250</v>
      </c>
      <c r="D11" s="94">
        <v>0</v>
      </c>
      <c r="E11" s="34">
        <f>+(C11-D11)/B11</f>
        <v>83.33333333333333</v>
      </c>
      <c r="F11" s="34">
        <f>((C11-E11)/2)*$F$7</f>
        <v>4.583333333333334</v>
      </c>
      <c r="G11" s="34">
        <f>C11*$G$7</f>
        <v>3.5</v>
      </c>
      <c r="H11" s="34">
        <f>SUM(E11:G11)</f>
        <v>91.41666666666666</v>
      </c>
      <c r="I11" s="90">
        <v>1</v>
      </c>
      <c r="J11" s="68">
        <f>H11*I11</f>
        <v>91.41666666666666</v>
      </c>
    </row>
    <row r="12" spans="1:10" ht="12.75">
      <c r="A12" s="60" t="s">
        <v>89</v>
      </c>
      <c r="B12" s="93">
        <v>10</v>
      </c>
      <c r="C12" s="94">
        <v>11175</v>
      </c>
      <c r="D12" s="94">
        <v>0</v>
      </c>
      <c r="E12" s="34">
        <f t="shared" si="0"/>
        <v>1117.5</v>
      </c>
      <c r="F12" s="34">
        <f>+((C12+D12)/2)*$F$7</f>
        <v>307.3125</v>
      </c>
      <c r="G12" s="34">
        <f t="shared" si="1"/>
        <v>156.45000000000002</v>
      </c>
      <c r="H12" s="34">
        <f t="shared" si="2"/>
        <v>1581.2625</v>
      </c>
      <c r="I12" s="90">
        <v>1</v>
      </c>
      <c r="J12" s="68">
        <f t="shared" si="3"/>
        <v>1581.2625</v>
      </c>
    </row>
    <row r="13" spans="1:10" ht="12.75">
      <c r="A13" t="s">
        <v>90</v>
      </c>
      <c r="B13" s="93">
        <v>15</v>
      </c>
      <c r="C13" s="94">
        <v>8000</v>
      </c>
      <c r="D13" s="94">
        <v>0</v>
      </c>
      <c r="E13" s="34">
        <f t="shared" si="0"/>
        <v>533.3333333333334</v>
      </c>
      <c r="F13" s="34">
        <f>((C13-E13)/2)*$F$7</f>
        <v>205.33333333333334</v>
      </c>
      <c r="G13" s="34">
        <f t="shared" si="1"/>
        <v>112</v>
      </c>
      <c r="H13" s="34">
        <f t="shared" si="2"/>
        <v>850.6666666666667</v>
      </c>
      <c r="I13" s="90">
        <v>0.33</v>
      </c>
      <c r="J13" s="68">
        <f t="shared" si="3"/>
        <v>280.72</v>
      </c>
    </row>
    <row r="14" spans="1:10" ht="12.75">
      <c r="A14" s="60" t="s">
        <v>91</v>
      </c>
      <c r="B14" s="78">
        <v>5</v>
      </c>
      <c r="C14" s="83">
        <v>0</v>
      </c>
      <c r="D14" s="83">
        <v>0</v>
      </c>
      <c r="E14" s="35">
        <f t="shared" si="0"/>
        <v>0</v>
      </c>
      <c r="F14" s="35">
        <f>((C14-E14)/2)*$F$7</f>
        <v>0</v>
      </c>
      <c r="G14" s="35">
        <f t="shared" si="1"/>
        <v>0</v>
      </c>
      <c r="H14" s="35">
        <f t="shared" si="2"/>
        <v>0</v>
      </c>
      <c r="I14" s="90">
        <v>0</v>
      </c>
      <c r="J14" s="68">
        <f t="shared" si="3"/>
        <v>0</v>
      </c>
    </row>
    <row r="15" spans="1:10" ht="12.75">
      <c r="A15" s="138" t="s">
        <v>129</v>
      </c>
      <c r="B15" s="78">
        <v>1</v>
      </c>
      <c r="C15" s="83">
        <v>0</v>
      </c>
      <c r="D15" s="83">
        <v>0</v>
      </c>
      <c r="E15" s="35">
        <f t="shared" si="0"/>
        <v>0</v>
      </c>
      <c r="F15" s="35">
        <f>((C15-E15)/2)*$F$7</f>
        <v>0</v>
      </c>
      <c r="G15" s="35">
        <f t="shared" si="1"/>
        <v>0</v>
      </c>
      <c r="H15" s="35">
        <f t="shared" si="2"/>
        <v>0</v>
      </c>
      <c r="I15" s="90">
        <v>0</v>
      </c>
      <c r="J15" s="68">
        <f t="shared" si="3"/>
        <v>0</v>
      </c>
    </row>
    <row r="16" spans="1:10" ht="12.75">
      <c r="A16" s="131" t="s">
        <v>92</v>
      </c>
      <c r="B16" s="118"/>
      <c r="C16" s="121"/>
      <c r="D16" s="121"/>
      <c r="E16" s="121"/>
      <c r="F16" s="121"/>
      <c r="G16" s="121"/>
      <c r="H16" s="121"/>
      <c r="I16" s="132"/>
      <c r="J16" s="133"/>
    </row>
    <row r="17" spans="1:10" ht="12.75">
      <c r="A17" s="60" t="s">
        <v>93</v>
      </c>
      <c r="B17" s="78">
        <v>15</v>
      </c>
      <c r="C17" s="83">
        <v>23150</v>
      </c>
      <c r="D17" s="84">
        <f>C17*0.2</f>
        <v>4630</v>
      </c>
      <c r="E17" s="35">
        <f>+(C17-D17)/B17</f>
        <v>1234.6666666666667</v>
      </c>
      <c r="F17" s="35">
        <f>((C17-E17)/2)*$F$7</f>
        <v>602.6716666666666</v>
      </c>
      <c r="G17" s="35">
        <f>C17*$G$7</f>
        <v>324.1</v>
      </c>
      <c r="H17" s="35">
        <f>SUM(E17:G17)</f>
        <v>2161.4383333333335</v>
      </c>
      <c r="I17" s="90">
        <v>0.1</v>
      </c>
      <c r="J17" s="68">
        <f>H17*I17</f>
        <v>216.14383333333336</v>
      </c>
    </row>
    <row r="18" spans="1:10" ht="12.75">
      <c r="A18" s="147" t="s">
        <v>95</v>
      </c>
      <c r="B18" s="78">
        <v>15</v>
      </c>
      <c r="C18" s="83">
        <v>500</v>
      </c>
      <c r="D18" s="84">
        <f>C18*0.2</f>
        <v>100</v>
      </c>
      <c r="E18" s="35">
        <f>+(C18-D18)/B18</f>
        <v>26.666666666666668</v>
      </c>
      <c r="F18" s="35">
        <f>((C18-E18)/2)*$F$7</f>
        <v>13.016666666666666</v>
      </c>
      <c r="G18" s="35">
        <f>C18*$G$7</f>
        <v>7</v>
      </c>
      <c r="H18" s="35">
        <f>SUM(E18:G18)</f>
        <v>46.68333333333334</v>
      </c>
      <c r="I18" s="90">
        <v>0.5</v>
      </c>
      <c r="J18" s="68">
        <f>H18*I18</f>
        <v>23.34166666666667</v>
      </c>
    </row>
    <row r="19" spans="1:10" ht="12.75">
      <c r="A19" s="131" t="s">
        <v>94</v>
      </c>
      <c r="B19" s="118"/>
      <c r="C19" s="121"/>
      <c r="D19" s="121"/>
      <c r="E19" s="121"/>
      <c r="F19" s="121"/>
      <c r="G19" s="121"/>
      <c r="H19" s="121"/>
      <c r="I19" s="132"/>
      <c r="J19" s="133"/>
    </row>
    <row r="20" spans="1:10" ht="12.75">
      <c r="A20" s="60" t="s">
        <v>93</v>
      </c>
      <c r="B20" s="78">
        <v>15</v>
      </c>
      <c r="C20" s="83">
        <v>23150</v>
      </c>
      <c r="D20" s="84">
        <f>C20*0.2</f>
        <v>4630</v>
      </c>
      <c r="E20" s="35">
        <f aca="true" t="shared" si="4" ref="E20:E25">+(C20-D20)/B20</f>
        <v>1234.6666666666667</v>
      </c>
      <c r="F20" s="35">
        <f>((C20-E20)/2)*$F$7</f>
        <v>602.6716666666666</v>
      </c>
      <c r="G20" s="35">
        <f aca="true" t="shared" si="5" ref="G20:G25">C20*$G$7</f>
        <v>324.1</v>
      </c>
      <c r="H20" s="35">
        <f aca="true" t="shared" si="6" ref="H20:H25">SUM(E20:G20)</f>
        <v>2161.4383333333335</v>
      </c>
      <c r="I20" s="90">
        <v>0.1</v>
      </c>
      <c r="J20" s="68">
        <f aca="true" t="shared" si="7" ref="J20:J25">H20*I20</f>
        <v>216.14383333333336</v>
      </c>
    </row>
    <row r="21" spans="1:10" ht="12.75">
      <c r="A21" s="148" t="s">
        <v>149</v>
      </c>
      <c r="B21" s="78">
        <v>15</v>
      </c>
      <c r="C21" s="83">
        <v>4225</v>
      </c>
      <c r="D21" s="84">
        <f>C21*0.2</f>
        <v>845</v>
      </c>
      <c r="E21" s="35">
        <f t="shared" si="4"/>
        <v>225.33333333333334</v>
      </c>
      <c r="F21" s="35">
        <f>((C21-E21)/2)*$F$7</f>
        <v>109.99083333333333</v>
      </c>
      <c r="G21" s="35">
        <f t="shared" si="5"/>
        <v>59.15</v>
      </c>
      <c r="H21" s="35">
        <f t="shared" si="6"/>
        <v>394.47416666666663</v>
      </c>
      <c r="I21" s="90">
        <v>0.5</v>
      </c>
      <c r="J21" s="68">
        <f t="shared" si="7"/>
        <v>197.23708333333332</v>
      </c>
    </row>
    <row r="22" spans="1:10" ht="12.75">
      <c r="A22" s="141" t="s">
        <v>140</v>
      </c>
      <c r="B22" s="78">
        <v>10</v>
      </c>
      <c r="C22" s="83">
        <v>12000</v>
      </c>
      <c r="D22" s="84">
        <f>C22*0.25</f>
        <v>3000</v>
      </c>
      <c r="E22" s="35">
        <f t="shared" si="4"/>
        <v>900</v>
      </c>
      <c r="F22" s="35">
        <f>((C22-E22)/2)*$F$7</f>
        <v>305.25</v>
      </c>
      <c r="G22" s="35">
        <f t="shared" si="5"/>
        <v>168</v>
      </c>
      <c r="H22" s="35">
        <f t="shared" si="6"/>
        <v>1373.25</v>
      </c>
      <c r="I22" s="90">
        <v>0.2</v>
      </c>
      <c r="J22" s="68">
        <f t="shared" si="7"/>
        <v>274.65000000000003</v>
      </c>
    </row>
    <row r="23" spans="1:10" ht="12.75">
      <c r="A23" s="78" t="s">
        <v>59</v>
      </c>
      <c r="B23" s="93">
        <v>1</v>
      </c>
      <c r="C23" s="94">
        <v>0</v>
      </c>
      <c r="D23" s="94">
        <v>0</v>
      </c>
      <c r="E23" s="34">
        <f t="shared" si="4"/>
        <v>0</v>
      </c>
      <c r="F23" s="34">
        <f>((C23-E23)/2)*$F$7</f>
        <v>0</v>
      </c>
      <c r="G23" s="34">
        <f t="shared" si="5"/>
        <v>0</v>
      </c>
      <c r="H23" s="34">
        <f t="shared" si="6"/>
        <v>0</v>
      </c>
      <c r="I23" s="90">
        <v>0</v>
      </c>
      <c r="J23" s="68">
        <f t="shared" si="7"/>
        <v>0</v>
      </c>
    </row>
    <row r="24" spans="1:10" ht="14.25">
      <c r="A24" s="156" t="s">
        <v>158</v>
      </c>
      <c r="B24" s="93">
        <v>7</v>
      </c>
      <c r="C24" s="94">
        <f>333.23*'BeefFinishPasture21-8'!E10</f>
        <v>16661.5</v>
      </c>
      <c r="D24" s="94">
        <v>0</v>
      </c>
      <c r="E24" s="34">
        <f t="shared" si="4"/>
        <v>2380.214285714286</v>
      </c>
      <c r="F24" s="34">
        <f>+((C24+D24)/2)*$F$7</f>
        <v>458.19125</v>
      </c>
      <c r="G24" s="34">
        <f t="shared" si="5"/>
        <v>233.261</v>
      </c>
      <c r="H24" s="34">
        <f t="shared" si="6"/>
        <v>3071.6665357142856</v>
      </c>
      <c r="I24" s="90">
        <v>1</v>
      </c>
      <c r="J24" s="68">
        <f t="shared" si="7"/>
        <v>3071.6665357142856</v>
      </c>
    </row>
    <row r="25" spans="1:10" ht="12.75">
      <c r="A25" s="4" t="s">
        <v>154</v>
      </c>
      <c r="B25" s="93">
        <v>7</v>
      </c>
      <c r="C25" s="94">
        <v>0</v>
      </c>
      <c r="D25" s="94">
        <v>0</v>
      </c>
      <c r="E25" s="34">
        <f t="shared" si="4"/>
        <v>0</v>
      </c>
      <c r="F25" s="34">
        <f>+((C25+D25)/2)*$F$7</f>
        <v>0</v>
      </c>
      <c r="G25" s="34">
        <f t="shared" si="5"/>
        <v>0</v>
      </c>
      <c r="H25" s="34">
        <f t="shared" si="6"/>
        <v>0</v>
      </c>
      <c r="I25" s="90">
        <v>1</v>
      </c>
      <c r="J25" s="68">
        <f t="shared" si="7"/>
        <v>0</v>
      </c>
    </row>
    <row r="26" spans="1:10" ht="12.75">
      <c r="A26" s="57" t="s">
        <v>68</v>
      </c>
      <c r="B26" s="57"/>
      <c r="C26" s="58"/>
      <c r="D26" s="58"/>
      <c r="E26" s="58"/>
      <c r="F26" s="58"/>
      <c r="G26" s="58"/>
      <c r="H26" s="58"/>
      <c r="I26" s="59"/>
      <c r="J26" s="69">
        <f>SUM(J9:J25)</f>
        <v>8509.30211904762</v>
      </c>
    </row>
    <row r="27" ht="14.25">
      <c r="A27" s="15" t="s">
        <v>21</v>
      </c>
    </row>
    <row r="28" ht="14.25">
      <c r="A28" s="14" t="s">
        <v>96</v>
      </c>
    </row>
    <row r="29" ht="14.25">
      <c r="A29" s="14" t="s">
        <v>97</v>
      </c>
    </row>
    <row r="30" ht="14.25">
      <c r="A30" s="14" t="s">
        <v>159</v>
      </c>
    </row>
    <row r="31" ht="14.25">
      <c r="A31" s="14" t="s">
        <v>157</v>
      </c>
    </row>
    <row r="32" ht="14.25">
      <c r="A32" s="14"/>
    </row>
    <row r="33" spans="1:12" ht="12.75">
      <c r="A33" s="65" t="s">
        <v>98</v>
      </c>
      <c r="B33" s="65"/>
      <c r="C33" s="31"/>
      <c r="D33" s="31"/>
      <c r="E33" s="31"/>
      <c r="F33" s="31"/>
      <c r="G33" s="31"/>
      <c r="H33" s="33"/>
      <c r="I33" s="33"/>
      <c r="J33" s="33"/>
      <c r="K33" s="33"/>
      <c r="L33" s="33"/>
    </row>
    <row r="34" spans="1:12" ht="12.75">
      <c r="A34" s="97" t="s">
        <v>99</v>
      </c>
      <c r="B34" s="54" t="s">
        <v>100</v>
      </c>
      <c r="C34" s="54" t="s">
        <v>101</v>
      </c>
      <c r="D34" s="54" t="s">
        <v>101</v>
      </c>
      <c r="E34" s="54" t="s">
        <v>53</v>
      </c>
      <c r="F34" s="54" t="s">
        <v>102</v>
      </c>
      <c r="G34" s="54" t="s">
        <v>103</v>
      </c>
      <c r="H34" s="54" t="s">
        <v>104</v>
      </c>
      <c r="I34" s="54" t="s">
        <v>105</v>
      </c>
      <c r="J34" s="54" t="s">
        <v>106</v>
      </c>
      <c r="K34" s="98" t="s">
        <v>107</v>
      </c>
      <c r="L34" s="98" t="s">
        <v>7</v>
      </c>
    </row>
    <row r="35" spans="1:12" ht="14.25">
      <c r="A35" s="55" t="s">
        <v>108</v>
      </c>
      <c r="B35" s="55" t="s">
        <v>109</v>
      </c>
      <c r="C35" s="99" t="s">
        <v>110</v>
      </c>
      <c r="D35" s="55" t="s">
        <v>111</v>
      </c>
      <c r="E35" s="100" t="s">
        <v>54</v>
      </c>
      <c r="F35" s="55" t="s">
        <v>112</v>
      </c>
      <c r="G35" s="55" t="s">
        <v>13</v>
      </c>
      <c r="H35" s="55" t="s">
        <v>113</v>
      </c>
      <c r="I35" s="55" t="s">
        <v>114</v>
      </c>
      <c r="J35" s="55" t="s">
        <v>115</v>
      </c>
      <c r="K35" s="100" t="s">
        <v>116</v>
      </c>
      <c r="L35" s="100" t="s">
        <v>117</v>
      </c>
    </row>
    <row r="36" spans="1:12" ht="14.25">
      <c r="A36" s="101"/>
      <c r="B36" s="101"/>
      <c r="C36" s="102" t="s">
        <v>55</v>
      </c>
      <c r="D36" s="102" t="s">
        <v>118</v>
      </c>
      <c r="E36" s="102" t="s">
        <v>17</v>
      </c>
      <c r="F36" s="102" t="s">
        <v>119</v>
      </c>
      <c r="G36" s="102" t="s">
        <v>17</v>
      </c>
      <c r="H36" s="102" t="s">
        <v>120</v>
      </c>
      <c r="I36" s="102" t="s">
        <v>121</v>
      </c>
      <c r="J36" s="102" t="s">
        <v>17</v>
      </c>
      <c r="K36" s="102" t="s">
        <v>17</v>
      </c>
      <c r="L36" s="102" t="s">
        <v>17</v>
      </c>
    </row>
    <row r="37" spans="1:12" ht="12.75">
      <c r="A37" s="33" t="s">
        <v>122</v>
      </c>
      <c r="B37" s="31"/>
      <c r="C37" s="73"/>
      <c r="D37" s="73"/>
      <c r="E37" s="73"/>
      <c r="F37" s="73"/>
      <c r="G37" s="103">
        <v>3.75</v>
      </c>
      <c r="H37" s="73"/>
      <c r="I37" s="73"/>
      <c r="J37" s="73"/>
      <c r="K37" s="104">
        <v>12</v>
      </c>
      <c r="L37" s="73"/>
    </row>
    <row r="38" spans="1:12" ht="12.75">
      <c r="A38" s="33" t="str">
        <f>A17</f>
        <v>   Tractor</v>
      </c>
      <c r="B38" s="134">
        <v>55</v>
      </c>
      <c r="C38" s="105">
        <v>0.02</v>
      </c>
      <c r="D38" s="106">
        <f>C17*C38</f>
        <v>463</v>
      </c>
      <c r="E38" s="106">
        <f>(D38*I17)</f>
        <v>46.300000000000004</v>
      </c>
      <c r="F38" s="107">
        <f>B38*0.044</f>
        <v>2.42</v>
      </c>
      <c r="G38" s="108">
        <f>F38*$G$37</f>
        <v>9.075</v>
      </c>
      <c r="H38" s="106">
        <f>G38*1.15</f>
        <v>10.436249999999998</v>
      </c>
      <c r="I38" s="137">
        <v>10</v>
      </c>
      <c r="J38" s="106">
        <f aca="true" t="shared" si="8" ref="J38:J43">E38+(H38*I38)</f>
        <v>150.6625</v>
      </c>
      <c r="K38" s="109">
        <f>I38*$K$37</f>
        <v>120</v>
      </c>
      <c r="L38" s="110">
        <f aca="true" t="shared" si="9" ref="L38:L43">J38+K38</f>
        <v>270.6625</v>
      </c>
    </row>
    <row r="39" spans="1:12" ht="12.75">
      <c r="A39" s="33" t="str">
        <f>A18</f>
        <v>    + equipment</v>
      </c>
      <c r="B39" s="33"/>
      <c r="C39" s="105">
        <v>0.01</v>
      </c>
      <c r="D39" s="106">
        <f>C18*C39</f>
        <v>5</v>
      </c>
      <c r="E39" s="106">
        <f>(D39*I18)</f>
        <v>2.5</v>
      </c>
      <c r="F39" s="107">
        <v>0</v>
      </c>
      <c r="G39" s="108">
        <v>0</v>
      </c>
      <c r="H39" s="106">
        <v>0</v>
      </c>
      <c r="I39" s="111">
        <f>I38</f>
        <v>10</v>
      </c>
      <c r="J39" s="106">
        <f t="shared" si="8"/>
        <v>2.5</v>
      </c>
      <c r="K39" s="112"/>
      <c r="L39" s="110">
        <f t="shared" si="9"/>
        <v>2.5</v>
      </c>
    </row>
    <row r="40" spans="1:12" ht="12.75">
      <c r="A40" s="33" t="str">
        <f>A20</f>
        <v>   Tractor</v>
      </c>
      <c r="B40" s="134">
        <v>55</v>
      </c>
      <c r="C40" s="105">
        <v>0.02</v>
      </c>
      <c r="D40" s="106">
        <f>C20*C40</f>
        <v>463</v>
      </c>
      <c r="E40" s="106">
        <f>(D40*I20)</f>
        <v>46.300000000000004</v>
      </c>
      <c r="F40" s="107">
        <f>B40*0.044</f>
        <v>2.42</v>
      </c>
      <c r="G40" s="108">
        <f>F40*$G$37</f>
        <v>9.075</v>
      </c>
      <c r="H40" s="106">
        <f>G40*1.15</f>
        <v>10.436249999999998</v>
      </c>
      <c r="I40" s="137">
        <v>10</v>
      </c>
      <c r="J40" s="106">
        <f t="shared" si="8"/>
        <v>150.6625</v>
      </c>
      <c r="K40" s="109">
        <f>I40*$K$37</f>
        <v>120</v>
      </c>
      <c r="L40" s="110">
        <f t="shared" si="9"/>
        <v>270.6625</v>
      </c>
    </row>
    <row r="41" spans="1:12" ht="12.75">
      <c r="A41" s="33" t="str">
        <f>A21</f>
        <v>    + bushhog</v>
      </c>
      <c r="B41" s="33"/>
      <c r="C41" s="105">
        <v>0.01</v>
      </c>
      <c r="D41" s="106">
        <f>C21*C41</f>
        <v>42.25</v>
      </c>
      <c r="E41" s="106">
        <f>(D41*I21)</f>
        <v>21.125</v>
      </c>
      <c r="F41" s="107">
        <v>0</v>
      </c>
      <c r="G41" s="108">
        <v>0</v>
      </c>
      <c r="H41" s="106">
        <v>0</v>
      </c>
      <c r="I41" s="111">
        <f>I40</f>
        <v>10</v>
      </c>
      <c r="J41" s="106">
        <f t="shared" si="8"/>
        <v>21.125</v>
      </c>
      <c r="K41" s="112"/>
      <c r="L41" s="110">
        <f t="shared" si="9"/>
        <v>21.125</v>
      </c>
    </row>
    <row r="42" spans="1:12" ht="12.75">
      <c r="A42" s="33" t="str">
        <f>A22</f>
        <v>1/2 T Pickup or 4-Wheeler</v>
      </c>
      <c r="B42" s="113"/>
      <c r="C42" s="105">
        <v>0.02</v>
      </c>
      <c r="D42" s="106">
        <f>C22*C42</f>
        <v>240</v>
      </c>
      <c r="E42" s="106">
        <f>(D42*I22)</f>
        <v>48</v>
      </c>
      <c r="F42" s="135">
        <v>2.5</v>
      </c>
      <c r="G42" s="108">
        <f>F42*$G$37</f>
        <v>9.375</v>
      </c>
      <c r="H42" s="106">
        <f>G42*1.15</f>
        <v>10.78125</v>
      </c>
      <c r="I42" s="137">
        <v>45.5</v>
      </c>
      <c r="J42" s="106">
        <f t="shared" si="8"/>
        <v>538.546875</v>
      </c>
      <c r="K42" s="109">
        <f>I42*$K$37</f>
        <v>546</v>
      </c>
      <c r="L42" s="110">
        <f t="shared" si="9"/>
        <v>1084.546875</v>
      </c>
    </row>
    <row r="43" spans="1:12" ht="12.75">
      <c r="A43" s="33" t="str">
        <f>A23</f>
        <v>Other</v>
      </c>
      <c r="B43" s="134">
        <v>0</v>
      </c>
      <c r="C43" s="105">
        <v>0.01</v>
      </c>
      <c r="D43" s="106">
        <f>C23*C43</f>
        <v>0</v>
      </c>
      <c r="E43" s="106">
        <f>(D43*I23)</f>
        <v>0</v>
      </c>
      <c r="F43" s="136">
        <f>B43*0.044</f>
        <v>0</v>
      </c>
      <c r="G43" s="108">
        <f>F43*$G$37</f>
        <v>0</v>
      </c>
      <c r="H43" s="106">
        <f>G43*1.15</f>
        <v>0</v>
      </c>
      <c r="I43" s="137">
        <v>0</v>
      </c>
      <c r="J43" s="106">
        <f t="shared" si="8"/>
        <v>0</v>
      </c>
      <c r="K43" s="109">
        <f>I43*$K$37</f>
        <v>0</v>
      </c>
      <c r="L43" s="110">
        <f t="shared" si="9"/>
        <v>0</v>
      </c>
    </row>
    <row r="44" spans="1:12" ht="12.75">
      <c r="A44" s="114" t="s">
        <v>68</v>
      </c>
      <c r="B44" s="114"/>
      <c r="C44" s="114"/>
      <c r="D44" s="114"/>
      <c r="E44" s="114"/>
      <c r="F44" s="114"/>
      <c r="G44" s="114"/>
      <c r="H44" s="114"/>
      <c r="I44" s="114"/>
      <c r="J44" s="115">
        <f>SUM(J38:J43)</f>
        <v>863.496875</v>
      </c>
      <c r="K44" s="115">
        <f>SUM(K38:K43)</f>
        <v>786</v>
      </c>
      <c r="L44" s="115">
        <f>SUM(L38:L43)</f>
        <v>1649.496875</v>
      </c>
    </row>
    <row r="45" spans="1:12" ht="14.25">
      <c r="A45" s="116" t="s">
        <v>123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ht="14.25">
      <c r="A46" s="117" t="s">
        <v>141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8" ht="14.25">
      <c r="A47" s="117" t="s">
        <v>124</v>
      </c>
      <c r="B47" s="2"/>
      <c r="C47" s="2"/>
      <c r="D47" s="2"/>
      <c r="E47" s="2"/>
      <c r="F47" s="2"/>
      <c r="G47" s="2"/>
      <c r="H47" s="2"/>
    </row>
    <row r="48" spans="1:12" ht="12.75">
      <c r="A48" s="27" t="s">
        <v>125</v>
      </c>
      <c r="B48" s="2"/>
      <c r="C48" s="2"/>
      <c r="D48" s="2"/>
      <c r="E48" s="2"/>
      <c r="F48" s="2"/>
      <c r="G48" s="2"/>
      <c r="H48" s="2"/>
      <c r="K48" s="2"/>
      <c r="L48" s="2"/>
    </row>
    <row r="49" spans="1:12" ht="13.5" thickBot="1">
      <c r="A49" s="20"/>
      <c r="B49" s="20"/>
      <c r="C49" s="20"/>
      <c r="D49" s="20"/>
      <c r="E49" s="20"/>
      <c r="F49" s="20"/>
      <c r="G49" s="20"/>
      <c r="H49" s="20"/>
      <c r="K49" s="20"/>
      <c r="L49" s="20"/>
    </row>
    <row r="50" spans="9:10" ht="13.5" thickTop="1">
      <c r="I50" s="56"/>
      <c r="J50" s="56"/>
    </row>
    <row r="51" ht="12.75">
      <c r="A51" t="s">
        <v>34</v>
      </c>
    </row>
    <row r="52" ht="9" customHeight="1"/>
    <row r="53" ht="12.75">
      <c r="A53" t="s">
        <v>35</v>
      </c>
    </row>
    <row r="54" ht="12.75">
      <c r="A54" t="s">
        <v>36</v>
      </c>
    </row>
    <row r="55" ht="12.75">
      <c r="A55" t="s">
        <v>37</v>
      </c>
    </row>
    <row r="56" ht="12.75">
      <c r="A56" t="s">
        <v>38</v>
      </c>
    </row>
    <row r="57" ht="12.75">
      <c r="A57" t="s">
        <v>39</v>
      </c>
    </row>
    <row r="58" ht="12.75">
      <c r="A58" t="s">
        <v>40</v>
      </c>
    </row>
    <row r="59" ht="12.75">
      <c r="A59" t="s">
        <v>41</v>
      </c>
    </row>
    <row r="60" ht="12.75">
      <c r="A60" t="s">
        <v>42</v>
      </c>
    </row>
    <row r="62" ht="12.75">
      <c r="A62" t="s">
        <v>50</v>
      </c>
    </row>
    <row r="64" spans="3:7" ht="12.75">
      <c r="C64" s="2"/>
      <c r="D64" s="2"/>
      <c r="E64" s="29" t="s">
        <v>43</v>
      </c>
      <c r="F64" s="2"/>
      <c r="G64" s="2"/>
    </row>
    <row r="65" spans="3:7" ht="12.75">
      <c r="C65" s="89">
        <v>-0.1</v>
      </c>
      <c r="E65" s="12" t="s">
        <v>44</v>
      </c>
      <c r="G65" s="89">
        <v>0.1</v>
      </c>
    </row>
    <row r="66" spans="3:7" ht="12.75">
      <c r="C66" s="12" t="s">
        <v>45</v>
      </c>
      <c r="E66" s="12" t="s">
        <v>46</v>
      </c>
      <c r="G66" s="12" t="s">
        <v>47</v>
      </c>
    </row>
    <row r="67" spans="2:7" ht="12.75">
      <c r="B67" s="87">
        <v>-0.1</v>
      </c>
      <c r="C67" s="43">
        <f>('BeefFinishPasture21-8'!F46*(1+B67))-('BeefFinishPasture21-8'!F40*(1+C65))</f>
        <v>-8696.307008448493</v>
      </c>
      <c r="D67" s="44"/>
      <c r="E67" s="44">
        <f>+'BeefFinishPasture21-8'!F46-('BeefFinishPasture21-8'!F40*(1+B67))</f>
        <v>1603.9829915515002</v>
      </c>
      <c r="F67" s="44"/>
      <c r="G67" s="45">
        <f>('BeefFinishPasture21-8'!F46*(1+G65))-('BeefFinishPasture21-8'!F40*(1+B67))</f>
        <v>11904.272991551508</v>
      </c>
    </row>
    <row r="68" spans="2:7" ht="13.5" thickBot="1">
      <c r="B68" s="2"/>
      <c r="C68" s="46"/>
      <c r="D68" s="47"/>
      <c r="E68" s="47"/>
      <c r="F68" s="47"/>
      <c r="G68" s="48"/>
    </row>
    <row r="69" spans="1:7" ht="14.25" thickBot="1" thickTop="1">
      <c r="A69" s="30" t="s">
        <v>48</v>
      </c>
      <c r="B69" s="17" t="s">
        <v>44</v>
      </c>
      <c r="C69" s="46">
        <f>('BeefFinishPasture21-8'!F46*(1+C65))-'BeefFinishPasture21-8'!F40</f>
        <v>-19962.85334272054</v>
      </c>
      <c r="D69" s="47"/>
      <c r="E69" s="49">
        <f>+'BeefFinishPasture21-8'!F50</f>
        <v>-9662.563342720554</v>
      </c>
      <c r="F69" s="47"/>
      <c r="G69" s="48">
        <f>('BeefFinishPasture21-8'!F46*(1+G65))-'BeefFinishPasture21-8'!F40</f>
        <v>637.7266572794615</v>
      </c>
    </row>
    <row r="70" spans="2:7" ht="13.5" thickTop="1">
      <c r="B70" s="2"/>
      <c r="C70" s="46"/>
      <c r="D70" s="47"/>
      <c r="E70" s="47"/>
      <c r="F70" s="47"/>
      <c r="G70" s="48"/>
    </row>
    <row r="71" spans="2:7" ht="12.75">
      <c r="B71" s="88" t="s">
        <v>49</v>
      </c>
      <c r="C71" s="50">
        <f>('BeefFinishPasture21-8'!F46*(1+C65))-('BeefFinishPasture21-8'!F40*(1+B71))</f>
        <v>-31229.3996769926</v>
      </c>
      <c r="D71" s="51"/>
      <c r="E71" s="51">
        <f>'BeefFinishPasture21-8'!F46-('BeefFinishPasture21-8'!F40*(1+B71))</f>
        <v>-20929.109676992608</v>
      </c>
      <c r="F71" s="51"/>
      <c r="G71" s="52">
        <f>('BeefFinishPasture21-8'!F46*(1+G65))-('BeefFinishPasture21-8'!F40*(1+B71))</f>
        <v>-10628.8196769926</v>
      </c>
    </row>
    <row r="72" ht="8.25" customHeight="1"/>
    <row r="73" spans="1:12" ht="6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</sheetData>
  <sheetProtection sheet="1" objects="1" scenarios="1" selectLockedCells="1"/>
  <printOptions horizontalCentered="1"/>
  <pageMargins left="0.55" right="0.46" top="1" bottom="0.78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21-5</dc:title>
  <dc:subject>Summer Stockers</dc:subject>
  <dc:creator>Geoff Benson</dc:creator>
  <cp:keywords/>
  <dc:description/>
  <cp:lastModifiedBy>gabenson</cp:lastModifiedBy>
  <cp:lastPrinted>2008-08-10T19:19:24Z</cp:lastPrinted>
  <dcterms:created xsi:type="dcterms:W3CDTF">1997-12-18T22:18:46Z</dcterms:created>
  <dcterms:modified xsi:type="dcterms:W3CDTF">2014-01-23T20:15:42Z</dcterms:modified>
  <cp:category/>
  <cp:version/>
  <cp:contentType/>
  <cp:contentStatus/>
</cp:coreProperties>
</file>