
<file path=[Content_Types].xml><?xml version="1.0" encoding="utf-8"?>
<Types xmlns="http://schemas.openxmlformats.org/package/2006/content-types">
  <Default Extension="bin" ContentType="application/vnd.openxmlformats-officedocument.spreadsheetml.printerSettings"/>
  <Default Extension="emf" ContentType="image/x-emf"/>
  <Default Extension="jpeg" ContentType="image/jpeg"/>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metadata.xml" ContentType="application/vnd.openxmlformats-officedocument.spreadsheetml.sheetMetadata+xml"/>
  <Override PartName="/xl/drawings/drawing1.xml" ContentType="application/vnd.openxmlformats-officedocument.drawing+xml"/>
  <Override PartName="/xl/drawings/drawing2.xml" ContentType="application/vnd.openxmlformats-officedocument.drawing+xml"/>
  <Override PartName="/xl/activeX/activeX1.xml" ContentType="application/vnd.ms-office.activeX+xml"/>
  <Override PartName="/xl/activeX/activeX1.bin" ContentType="application/vnd.ms-office.activeX"/>
  <Override PartName="/xl/drawings/drawing3.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drawings/drawing4.xml" ContentType="application/vnd.openxmlformats-officedocument.drawing+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drawings/drawing5.xml" ContentType="application/vnd.openxmlformats-officedocument.drawing+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xl/ctrlProps/ctrlProp15.xml" ContentType="application/vnd.ms-excel.controlproperties+xml"/>
  <Override PartName="/xl/charts/chart1.xml" ContentType="application/vnd.openxmlformats-officedocument.drawingml.chart+xml"/>
  <Override PartName="/xl/drawings/drawing6.xml" ContentType="application/vnd.openxmlformats-officedocument.drawing+xml"/>
  <Override PartName="/xl/activeX/activeX2.xml" ContentType="application/vnd.ms-office.activeX+xml"/>
  <Override PartName="/xl/activeX/activeX2.bin" ContentType="application/vnd.ms-office.activeX"/>
  <Override PartName="/xl/activeX/activeX3.xml" ContentType="application/vnd.ms-office.activeX+xml"/>
  <Override PartName="/xl/activeX/activeX3.bin" ContentType="application/vnd.ms-office.activeX"/>
  <Override PartName="/xl/ctrlProps/ctrlProp16.xml" ContentType="application/vnd.ms-excel.controlproperties+xml"/>
  <Override PartName="/xl/ctrlProps/ctrlProp17.xml" ContentType="application/vnd.ms-excel.controlproperties+xml"/>
  <Override PartName="/xl/ctrlProps/ctrlProp18.xml" ContentType="application/vnd.ms-excel.controlproperties+xml"/>
  <Override PartName="/xl/ctrlProps/ctrlProp19.xml" ContentType="application/vnd.ms-excel.controlproperties+xml"/>
  <Override PartName="/xl/ctrlProps/ctrlProp20.xml" ContentType="application/vnd.ms-excel.controlproperties+xml"/>
  <Override PartName="/xl/drawings/drawing7.xml" ContentType="application/vnd.openxmlformats-officedocument.drawing+xml"/>
  <Override PartName="/xl/ctrlProps/ctrlProp21.xml" ContentType="application/vnd.ms-excel.controlproperties+xml"/>
  <Override PartName="/xl/ctrlProps/ctrlProp22.xml" ContentType="application/vnd.ms-excel.controlpropertie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429"/>
  <workbookPr codeName="ThisWorkbook"/>
  <mc:AlternateContent xmlns:mc="http://schemas.openxmlformats.org/markup-compatibility/2006">
    <mc:Choice Requires="x15">
      <x15ac:absPath xmlns:x15ac="http://schemas.microsoft.com/office/spreadsheetml/2010/11/ac" url="C:\Users\cnhaugh\Downloads\"/>
    </mc:Choice>
  </mc:AlternateContent>
  <xr:revisionPtr revIDLastSave="0" documentId="8_{746D8581-63EB-430C-B2F2-C1D108A2795A}" xr6:coauthVersionLast="47" xr6:coauthVersionMax="47" xr10:uidLastSave="{00000000-0000-0000-0000-000000000000}"/>
  <bookViews>
    <workbookView xWindow="-110" yWindow="-110" windowWidth="24220" windowHeight="15620" xr2:uid="{00000000-000D-0000-FFFF-FFFF00000000}"/>
  </bookViews>
  <sheets>
    <sheet name="Security Settings" sheetId="10" r:id="rId1"/>
    <sheet name="Information" sheetId="11" r:id="rId2"/>
    <sheet name="work" sheetId="9" r:id="rId3"/>
    <sheet name="tillage" sheetId="12" r:id="rId4"/>
    <sheet name="tillage data" sheetId="15" r:id="rId5"/>
    <sheet name="combine" sheetId="13" r:id="rId6"/>
    <sheet name="graincart" sheetId="16" r:id="rId7"/>
    <sheet name="efficiency" sheetId="14" r:id="rId8"/>
  </sheets>
  <definedNames>
    <definedName name="Field_Cultivator__42_ft." localSheetId="6">graincart!$E$8:$H$8</definedName>
    <definedName name="Field_Cultivator__42_ft.">tillage!$E$8:$H$8</definedName>
    <definedName name="impName">tillage!$D$8</definedName>
    <definedName name="impName2" localSheetId="6">graincart!$D$8</definedName>
    <definedName name="impNameTst">tillage!$O$25</definedName>
    <definedName name="impNameTst2" localSheetId="6">graincart!$O$25</definedName>
    <definedName name="Macros">Information!$E$27</definedName>
    <definedName name="_xlnm.Print_Area" localSheetId="5">combine!$A$1:$O$54</definedName>
    <definedName name="_xlnm.Print_Area" localSheetId="7">efficiency!$A$1:$N$36</definedName>
    <definedName name="_xlnm.Print_Area" localSheetId="6">graincart!$A$1:$M$48</definedName>
    <definedName name="_xlnm.Print_Area" localSheetId="3">tillage!$A$1:$M$48</definedName>
    <definedName name="screen">Information!$A$1:$N$45</definedName>
    <definedName name="screenA">Information!$C$2:$N$43</definedName>
    <definedName name="Security">'Security Settings'!#REF!</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G21" i="13" l="1"/>
  <c r="G20" i="13"/>
  <c r="G19" i="13"/>
  <c r="G18" i="13"/>
  <c r="F21" i="13"/>
  <c r="F20" i="13"/>
  <c r="F19" i="13"/>
  <c r="F18" i="13"/>
  <c r="E19" i="13"/>
  <c r="E18" i="13"/>
  <c r="D19" i="16"/>
  <c r="S12" i="16" s="1"/>
  <c r="I27" i="12"/>
  <c r="I26" i="12"/>
  <c r="I25" i="12"/>
  <c r="J56" i="16" l="1"/>
  <c r="J49" i="16"/>
  <c r="I56" i="16" l="1"/>
  <c r="I49" i="16"/>
  <c r="AJ29" i="16" l="1"/>
  <c r="Q13" i="16"/>
  <c r="Q12" i="16"/>
  <c r="Q10" i="16"/>
  <c r="Q11" i="16"/>
  <c r="Q14" i="16"/>
  <c r="S11" i="16"/>
  <c r="U8" i="12"/>
  <c r="Q9" i="12"/>
  <c r="Q9" i="16"/>
  <c r="O29" i="16" l="1"/>
  <c r="Y25" i="16" l="1"/>
  <c r="Z25" i="16"/>
  <c r="AA25" i="16"/>
  <c r="X25" i="16"/>
  <c r="AD46" i="16"/>
  <c r="AD45" i="16"/>
  <c r="AD44" i="16"/>
  <c r="AD43" i="16"/>
  <c r="AD42" i="16"/>
  <c r="AD41" i="16"/>
  <c r="AD40" i="16"/>
  <c r="AD39" i="16"/>
  <c r="AD38" i="16"/>
  <c r="AD37" i="16"/>
  <c r="AD36" i="16"/>
  <c r="I36" i="16"/>
  <c r="AD35" i="16"/>
  <c r="AD34" i="16"/>
  <c r="AD33" i="16"/>
  <c r="AD32" i="16"/>
  <c r="AD31" i="16"/>
  <c r="O31" i="16"/>
  <c r="AD30" i="16"/>
  <c r="O30" i="16"/>
  <c r="AW29" i="16"/>
  <c r="AX29" i="16" s="1"/>
  <c r="AY29" i="16" s="1"/>
  <c r="AT29" i="16"/>
  <c r="AU29" i="16" s="1"/>
  <c r="AO29" i="16"/>
  <c r="AP29" i="16" s="1"/>
  <c r="AQ29" i="16" s="1"/>
  <c r="AL29" i="16"/>
  <c r="AM29" i="16" s="1"/>
  <c r="AN29" i="16" s="1"/>
  <c r="AD29" i="16"/>
  <c r="W12" i="16"/>
  <c r="W11" i="16"/>
  <c r="I27" i="16" s="1"/>
  <c r="AG8" i="16"/>
  <c r="AF8" i="16"/>
  <c r="AE8" i="16"/>
  <c r="AD8" i="16"/>
  <c r="W8" i="16"/>
  <c r="I24" i="16" s="1"/>
  <c r="U8" i="16"/>
  <c r="S8" i="16"/>
  <c r="I10" i="16" s="1"/>
  <c r="AQ24" i="16" a="1"/>
  <c r="AN24" i="16" a="1"/>
  <c r="J36" i="16" l="1"/>
  <c r="J46" i="16" s="1"/>
  <c r="I46" i="16"/>
  <c r="I35" i="16"/>
  <c r="AQ24" i="16"/>
  <c r="AN24" i="16"/>
  <c r="AC9" i="16"/>
  <c r="AG9" i="16" s="1"/>
  <c r="AG25" i="16"/>
  <c r="U11" i="16" s="1"/>
  <c r="T25" i="16"/>
  <c r="AF25" i="16"/>
  <c r="U10" i="16" s="1"/>
  <c r="AE25" i="16"/>
  <c r="U9" i="16" s="1"/>
  <c r="W13" i="16"/>
  <c r="W10" i="16" s="1"/>
  <c r="I26" i="16" s="1"/>
  <c r="R25" i="16"/>
  <c r="Q8" i="16" s="1"/>
  <c r="S25" i="16"/>
  <c r="AC23" i="16"/>
  <c r="D20" i="16" s="1"/>
  <c r="U25" i="16"/>
  <c r="V25" i="16"/>
  <c r="W25" i="16"/>
  <c r="Q25" i="16"/>
  <c r="AW76" i="16"/>
  <c r="AW72" i="16"/>
  <c r="AW68" i="16"/>
  <c r="AW64" i="16"/>
  <c r="AW60" i="16"/>
  <c r="AW56" i="16"/>
  <c r="AW52" i="16"/>
  <c r="AW48" i="16"/>
  <c r="AT45" i="16"/>
  <c r="AT41" i="16"/>
  <c r="AW33" i="16"/>
  <c r="AT32" i="16"/>
  <c r="AT77" i="16"/>
  <c r="AT73" i="16"/>
  <c r="AT69" i="16"/>
  <c r="AT65" i="16"/>
  <c r="AT61" i="16"/>
  <c r="AT57" i="16"/>
  <c r="AT53" i="16"/>
  <c r="AT49" i="16"/>
  <c r="AW43" i="16"/>
  <c r="AT39" i="16"/>
  <c r="AW38" i="16"/>
  <c r="AW36" i="16"/>
  <c r="AT35" i="16"/>
  <c r="AW79" i="16"/>
  <c r="AW75" i="16"/>
  <c r="AW71" i="16"/>
  <c r="AW67" i="16"/>
  <c r="AW63" i="16"/>
  <c r="AW59" i="16"/>
  <c r="AW55" i="16"/>
  <c r="AW51" i="16"/>
  <c r="AW47" i="16"/>
  <c r="AT46" i="16"/>
  <c r="AT42" i="16"/>
  <c r="AW31" i="16"/>
  <c r="AT30" i="16"/>
  <c r="AU30" i="16" s="1"/>
  <c r="AT76" i="16"/>
  <c r="AT72" i="16"/>
  <c r="AT68" i="16"/>
  <c r="AT64" i="16"/>
  <c r="AT60" i="16"/>
  <c r="AT56" i="16"/>
  <c r="AT52" i="16"/>
  <c r="AT48" i="16"/>
  <c r="AW44" i="16"/>
  <c r="AW40" i="16"/>
  <c r="AW34" i="16"/>
  <c r="AT33" i="16"/>
  <c r="AW78" i="16"/>
  <c r="AW74" i="16"/>
  <c r="AW70" i="16"/>
  <c r="AW66" i="16"/>
  <c r="AW62" i="16"/>
  <c r="AW58" i="16"/>
  <c r="AW54" i="16"/>
  <c r="AW50" i="16"/>
  <c r="AT43" i="16"/>
  <c r="AT38" i="16"/>
  <c r="AW37" i="16"/>
  <c r="AT36" i="16"/>
  <c r="AT79" i="16"/>
  <c r="AT75" i="16"/>
  <c r="AT71" i="16"/>
  <c r="AT67" i="16"/>
  <c r="AT63" i="16"/>
  <c r="AT59" i="16"/>
  <c r="AT55" i="16"/>
  <c r="AT51" i="16"/>
  <c r="AT47" i="16"/>
  <c r="AW45" i="16"/>
  <c r="AW41" i="16"/>
  <c r="AW32" i="16"/>
  <c r="AT31" i="16"/>
  <c r="AW77" i="16"/>
  <c r="AW73" i="16"/>
  <c r="AW69" i="16"/>
  <c r="AW65" i="16"/>
  <c r="AW61" i="16"/>
  <c r="AW57" i="16"/>
  <c r="AW53" i="16"/>
  <c r="AW49" i="16"/>
  <c r="AT44" i="16"/>
  <c r="AT40" i="16"/>
  <c r="AW39" i="16"/>
  <c r="AW35" i="16"/>
  <c r="AT34" i="16"/>
  <c r="AT78" i="16"/>
  <c r="AT74" i="16"/>
  <c r="AT70" i="16"/>
  <c r="AT66" i="16"/>
  <c r="AT62" i="16"/>
  <c r="AT58" i="16"/>
  <c r="AT54" i="16"/>
  <c r="AT50" i="16"/>
  <c r="AW46" i="16"/>
  <c r="AW42" i="16"/>
  <c r="AT37" i="16"/>
  <c r="AW30" i="16"/>
  <c r="AX30" i="16" s="1"/>
  <c r="AV29" i="16"/>
  <c r="W9" i="16"/>
  <c r="I25" i="16" s="1"/>
  <c r="W8" i="12"/>
  <c r="I24" i="12" s="1"/>
  <c r="I60" i="16" l="1"/>
  <c r="I53" i="16"/>
  <c r="K46" i="16"/>
  <c r="J35" i="16"/>
  <c r="J45" i="16" s="1"/>
  <c r="I45" i="16"/>
  <c r="I52" i="16" s="1"/>
  <c r="I31" i="16"/>
  <c r="J31" i="16" s="1"/>
  <c r="I34" i="16"/>
  <c r="J34" i="16" s="1"/>
  <c r="AF9" i="16"/>
  <c r="S10" i="16" s="1"/>
  <c r="I12" i="16" s="1"/>
  <c r="AD9" i="16"/>
  <c r="AE9" i="16"/>
  <c r="AV30" i="16"/>
  <c r="AU31" i="16"/>
  <c r="AX31" i="16"/>
  <c r="AY30" i="16"/>
  <c r="AA14" i="13"/>
  <c r="AB14" i="13"/>
  <c r="AC14" i="13"/>
  <c r="AD14" i="13"/>
  <c r="AE14" i="13"/>
  <c r="AF14" i="13"/>
  <c r="AG14" i="13"/>
  <c r="I20" i="16" l="1"/>
  <c r="K53" i="16"/>
  <c r="J53" i="16"/>
  <c r="K60" i="16"/>
  <c r="J60" i="16"/>
  <c r="K45" i="16"/>
  <c r="I59" i="16"/>
  <c r="J59" i="16" s="1"/>
  <c r="K52" i="16"/>
  <c r="J52" i="16"/>
  <c r="AL67" i="16"/>
  <c r="AL33" i="16"/>
  <c r="AO79" i="16"/>
  <c r="AO56" i="16"/>
  <c r="AO42" i="16"/>
  <c r="AO47" i="16"/>
  <c r="AL74" i="16"/>
  <c r="AL64" i="16"/>
  <c r="AL73" i="16"/>
  <c r="AO53" i="16"/>
  <c r="AO32" i="16"/>
  <c r="AO50" i="16"/>
  <c r="AL39" i="16"/>
  <c r="AJ33" i="16"/>
  <c r="AJ41" i="16"/>
  <c r="AJ49" i="16"/>
  <c r="AJ57" i="16"/>
  <c r="AJ65" i="16"/>
  <c r="AJ73" i="16"/>
  <c r="AJ67" i="16"/>
  <c r="AJ61" i="16"/>
  <c r="AJ38" i="16"/>
  <c r="AJ46" i="16"/>
  <c r="AJ54" i="16"/>
  <c r="AJ62" i="16"/>
  <c r="AJ78" i="16"/>
  <c r="AJ34" i="16"/>
  <c r="AJ42" i="16"/>
  <c r="AJ50" i="16"/>
  <c r="AJ58" i="16"/>
  <c r="AJ66" i="16"/>
  <c r="AJ74" i="16"/>
  <c r="AJ59" i="16"/>
  <c r="S9" i="16"/>
  <c r="I11" i="16" s="1"/>
  <c r="AJ37" i="16"/>
  <c r="AJ53" i="16"/>
  <c r="AJ77" i="16"/>
  <c r="AJ70" i="16"/>
  <c r="AJ35" i="16"/>
  <c r="AJ43" i="16"/>
  <c r="AJ51" i="16"/>
  <c r="AJ75" i="16"/>
  <c r="AJ45" i="16"/>
  <c r="AJ69" i="16"/>
  <c r="AJ36" i="16"/>
  <c r="AJ44" i="16"/>
  <c r="AJ52" i="16"/>
  <c r="AJ60" i="16"/>
  <c r="AJ68" i="16"/>
  <c r="AJ76" i="16"/>
  <c r="AJ31" i="16"/>
  <c r="AJ39" i="16"/>
  <c r="AJ47" i="16"/>
  <c r="AJ55" i="16"/>
  <c r="AJ63" i="16"/>
  <c r="AJ71" i="16"/>
  <c r="AJ79" i="16"/>
  <c r="AJ32" i="16"/>
  <c r="AJ40" i="16"/>
  <c r="AJ48" i="16"/>
  <c r="AJ56" i="16"/>
  <c r="AJ64" i="16"/>
  <c r="AJ72" i="16"/>
  <c r="AJ30" i="16"/>
  <c r="AL32" i="16"/>
  <c r="AO61" i="16"/>
  <c r="AL75" i="16"/>
  <c r="AO40" i="16"/>
  <c r="AO55" i="16"/>
  <c r="AO33" i="16"/>
  <c r="AO68" i="16"/>
  <c r="AL54" i="16"/>
  <c r="AO35" i="16"/>
  <c r="AO65" i="16"/>
  <c r="AL47" i="16"/>
  <c r="AL79" i="16"/>
  <c r="AO62" i="16"/>
  <c r="AO44" i="16"/>
  <c r="AL76" i="16"/>
  <c r="AO59" i="16"/>
  <c r="AL57" i="16"/>
  <c r="AL41" i="16"/>
  <c r="AO72" i="16"/>
  <c r="AL58" i="16"/>
  <c r="AO39" i="16"/>
  <c r="AO69" i="16"/>
  <c r="AL51" i="16"/>
  <c r="AL36" i="16"/>
  <c r="AO66" i="16"/>
  <c r="AL48" i="16"/>
  <c r="AL30" i="16"/>
  <c r="AM30" i="16" s="1"/>
  <c r="AN30" i="16" s="1"/>
  <c r="AO63" i="16"/>
  <c r="AL35" i="16"/>
  <c r="AO76" i="16"/>
  <c r="AO73" i="16"/>
  <c r="AO37" i="16"/>
  <c r="AL52" i="16"/>
  <c r="AO67" i="16"/>
  <c r="AO36" i="16"/>
  <c r="AL65" i="16"/>
  <c r="AO48" i="16"/>
  <c r="AO30" i="16"/>
  <c r="AP30" i="16" s="1"/>
  <c r="AQ30" i="16" s="1"/>
  <c r="AL66" i="16"/>
  <c r="AL44" i="16"/>
  <c r="AO77" i="16"/>
  <c r="AL59" i="16"/>
  <c r="AL38" i="16"/>
  <c r="AO74" i="16"/>
  <c r="AL56" i="16"/>
  <c r="AL42" i="16"/>
  <c r="AO71" i="16"/>
  <c r="AO43" i="16"/>
  <c r="AL77" i="16"/>
  <c r="AO60" i="16"/>
  <c r="AO46" i="16"/>
  <c r="AL78" i="16"/>
  <c r="AO57" i="16"/>
  <c r="AO41" i="16"/>
  <c r="AL71" i="16"/>
  <c r="AO54" i="16"/>
  <c r="AO34" i="16"/>
  <c r="AL68" i="16"/>
  <c r="AO51" i="16"/>
  <c r="AL49" i="16"/>
  <c r="AO64" i="16"/>
  <c r="AL50" i="16"/>
  <c r="AL34" i="16"/>
  <c r="AO45" i="16"/>
  <c r="AO58" i="16"/>
  <c r="AL72" i="16"/>
  <c r="AL53" i="16"/>
  <c r="AL61" i="16"/>
  <c r="AL45" i="16"/>
  <c r="AL62" i="16"/>
  <c r="AL40" i="16"/>
  <c r="AL55" i="16"/>
  <c r="AO70" i="16"/>
  <c r="AO31" i="16"/>
  <c r="AO38" i="16"/>
  <c r="AL69" i="16"/>
  <c r="AO52" i="16"/>
  <c r="AL37" i="16"/>
  <c r="AL70" i="16"/>
  <c r="AO49" i="16"/>
  <c r="AL31" i="16"/>
  <c r="AL63" i="16"/>
  <c r="AL43" i="16"/>
  <c r="AO78" i="16"/>
  <c r="AL60" i="16"/>
  <c r="AL46" i="16"/>
  <c r="AO75" i="16"/>
  <c r="AY31" i="16"/>
  <c r="AX32" i="16"/>
  <c r="AV31" i="16"/>
  <c r="AU32" i="16"/>
  <c r="R18" i="13"/>
  <c r="Q18" i="13"/>
  <c r="P18" i="13"/>
  <c r="I44" i="16" l="1"/>
  <c r="K44" i="16" s="1"/>
  <c r="K20" i="16"/>
  <c r="J20" i="16"/>
  <c r="J44" i="16" s="1"/>
  <c r="I17" i="16"/>
  <c r="K59" i="16"/>
  <c r="AM31" i="16"/>
  <c r="AN31" i="16" s="1"/>
  <c r="AP31" i="16"/>
  <c r="AQ31" i="16" s="1"/>
  <c r="AY32" i="16"/>
  <c r="AX33" i="16"/>
  <c r="AU33" i="16"/>
  <c r="AV32" i="16"/>
  <c r="BC22" i="13"/>
  <c r="BC23" i="13"/>
  <c r="BC24" i="13"/>
  <c r="BC25" i="13"/>
  <c r="BC26" i="13"/>
  <c r="BC27" i="13"/>
  <c r="BC28" i="13"/>
  <c r="BC29" i="13"/>
  <c r="BC30" i="13"/>
  <c r="BC31" i="13"/>
  <c r="BC32" i="13"/>
  <c r="BC33" i="13"/>
  <c r="BC34" i="13"/>
  <c r="BC35" i="13"/>
  <c r="BC36" i="13"/>
  <c r="BC37" i="13"/>
  <c r="BC38" i="13"/>
  <c r="BC39" i="13"/>
  <c r="BC40" i="13"/>
  <c r="BC41" i="13"/>
  <c r="BC42" i="13"/>
  <c r="BC43" i="13"/>
  <c r="BC44" i="13"/>
  <c r="BC45" i="13"/>
  <c r="BC46" i="13"/>
  <c r="BC47" i="13"/>
  <c r="BC48" i="13"/>
  <c r="BC49" i="13"/>
  <c r="BC50" i="13"/>
  <c r="BC51" i="13"/>
  <c r="BC52" i="13"/>
  <c r="BC53" i="13"/>
  <c r="BC54" i="13"/>
  <c r="BC55" i="13"/>
  <c r="BC56" i="13"/>
  <c r="BC57" i="13"/>
  <c r="BC58" i="13"/>
  <c r="BC59" i="13"/>
  <c r="BC60" i="13"/>
  <c r="BC61" i="13"/>
  <c r="BC62" i="13"/>
  <c r="BC63" i="13"/>
  <c r="BC64" i="13"/>
  <c r="BC65" i="13"/>
  <c r="BC66" i="13"/>
  <c r="BC67" i="13"/>
  <c r="BC68" i="13"/>
  <c r="BC69" i="13"/>
  <c r="BC70" i="13"/>
  <c r="BC21" i="13"/>
  <c r="AZ22" i="13"/>
  <c r="AZ23" i="13"/>
  <c r="AZ24" i="13"/>
  <c r="AZ25" i="13"/>
  <c r="AZ26" i="13"/>
  <c r="AZ27" i="13"/>
  <c r="AZ28" i="13"/>
  <c r="AZ29" i="13"/>
  <c r="AZ30" i="13"/>
  <c r="AZ31" i="13"/>
  <c r="AZ32" i="13"/>
  <c r="AZ33" i="13"/>
  <c r="AZ34" i="13"/>
  <c r="AZ35" i="13"/>
  <c r="AZ36" i="13"/>
  <c r="AZ37" i="13"/>
  <c r="AZ38" i="13"/>
  <c r="AZ39" i="13"/>
  <c r="AZ40" i="13"/>
  <c r="AZ41" i="13"/>
  <c r="AZ42" i="13"/>
  <c r="AZ43" i="13"/>
  <c r="AZ44" i="13"/>
  <c r="AZ45" i="13"/>
  <c r="AZ46" i="13"/>
  <c r="AZ47" i="13"/>
  <c r="AZ48" i="13"/>
  <c r="AZ49" i="13"/>
  <c r="AZ50" i="13"/>
  <c r="AZ51" i="13"/>
  <c r="AZ52" i="13"/>
  <c r="AZ53" i="13"/>
  <c r="AZ54" i="13"/>
  <c r="AZ55" i="13"/>
  <c r="AZ56" i="13"/>
  <c r="AZ57" i="13"/>
  <c r="AZ58" i="13"/>
  <c r="AZ59" i="13"/>
  <c r="AZ60" i="13"/>
  <c r="AZ61" i="13"/>
  <c r="AZ62" i="13"/>
  <c r="AZ63" i="13"/>
  <c r="AZ64" i="13"/>
  <c r="AZ65" i="13"/>
  <c r="AZ66" i="13"/>
  <c r="AZ67" i="13"/>
  <c r="AZ68" i="13"/>
  <c r="AZ69" i="13"/>
  <c r="AZ70" i="13"/>
  <c r="AZ21" i="13"/>
  <c r="AU22" i="13"/>
  <c r="AU23" i="13"/>
  <c r="AU24" i="13"/>
  <c r="AU25" i="13"/>
  <c r="AU26" i="13"/>
  <c r="AU27" i="13"/>
  <c r="AU28" i="13"/>
  <c r="AU29" i="13"/>
  <c r="AU30" i="13"/>
  <c r="AU31" i="13"/>
  <c r="AU32" i="13"/>
  <c r="AU33" i="13"/>
  <c r="AU34" i="13"/>
  <c r="AU35" i="13"/>
  <c r="AU36" i="13"/>
  <c r="AU37" i="13"/>
  <c r="AU38" i="13"/>
  <c r="AU39" i="13"/>
  <c r="AU40" i="13"/>
  <c r="AU41" i="13"/>
  <c r="AU42" i="13"/>
  <c r="AU43" i="13"/>
  <c r="AU44" i="13"/>
  <c r="AU45" i="13"/>
  <c r="AU46" i="13"/>
  <c r="AU47" i="13"/>
  <c r="AU48" i="13"/>
  <c r="AU49" i="13"/>
  <c r="AU50" i="13"/>
  <c r="AU51" i="13"/>
  <c r="AU52" i="13"/>
  <c r="AU53" i="13"/>
  <c r="AU54" i="13"/>
  <c r="AU55" i="13"/>
  <c r="AU56" i="13"/>
  <c r="AU57" i="13"/>
  <c r="AU58" i="13"/>
  <c r="AU59" i="13"/>
  <c r="AU60" i="13"/>
  <c r="AU61" i="13"/>
  <c r="AU62" i="13"/>
  <c r="AU63" i="13"/>
  <c r="AU64" i="13"/>
  <c r="AU65" i="13"/>
  <c r="AU66" i="13"/>
  <c r="AU67" i="13"/>
  <c r="AU68" i="13"/>
  <c r="AU69" i="13"/>
  <c r="AU70" i="13"/>
  <c r="AU21" i="13"/>
  <c r="AR22" i="13"/>
  <c r="AR23" i="13"/>
  <c r="AR24" i="13"/>
  <c r="AR25" i="13"/>
  <c r="AR26" i="13"/>
  <c r="AR27" i="13"/>
  <c r="AR28" i="13"/>
  <c r="AR29" i="13"/>
  <c r="AR30" i="13"/>
  <c r="AR31" i="13"/>
  <c r="AR32" i="13"/>
  <c r="AR33" i="13"/>
  <c r="AR34" i="13"/>
  <c r="AR35" i="13"/>
  <c r="AR36" i="13"/>
  <c r="AR37" i="13"/>
  <c r="AR38" i="13"/>
  <c r="AR39" i="13"/>
  <c r="AR40" i="13"/>
  <c r="AR41" i="13"/>
  <c r="AR42" i="13"/>
  <c r="AR43" i="13"/>
  <c r="AR44" i="13"/>
  <c r="AR45" i="13"/>
  <c r="AR46" i="13"/>
  <c r="AR47" i="13"/>
  <c r="AR48" i="13"/>
  <c r="AR49" i="13"/>
  <c r="AR50" i="13"/>
  <c r="AR51" i="13"/>
  <c r="AR52" i="13"/>
  <c r="AR53" i="13"/>
  <c r="AR54" i="13"/>
  <c r="AR55" i="13"/>
  <c r="AR56" i="13"/>
  <c r="AR57" i="13"/>
  <c r="AR58" i="13"/>
  <c r="AR59" i="13"/>
  <c r="AR60" i="13"/>
  <c r="AR61" i="13"/>
  <c r="AR62" i="13"/>
  <c r="AR63" i="13"/>
  <c r="AR64" i="13"/>
  <c r="AR65" i="13"/>
  <c r="AR66" i="13"/>
  <c r="AR67" i="13"/>
  <c r="AR68" i="13"/>
  <c r="AR69" i="13"/>
  <c r="AR70" i="13"/>
  <c r="AR21" i="13"/>
  <c r="BC20" i="13"/>
  <c r="BD20" i="13" s="1"/>
  <c r="BE20" i="13" s="1"/>
  <c r="AZ20" i="13"/>
  <c r="BA20" i="13" s="1"/>
  <c r="AU20" i="13"/>
  <c r="AV20" i="13" s="1"/>
  <c r="AW20" i="13" s="1"/>
  <c r="AR20" i="13"/>
  <c r="AS20" i="13" s="1"/>
  <c r="AT20" i="13" s="1"/>
  <c r="J17" i="16" l="1"/>
  <c r="J41" i="16" s="1"/>
  <c r="K17" i="16"/>
  <c r="I41" i="16"/>
  <c r="K41" i="16" s="1"/>
  <c r="AP32" i="16"/>
  <c r="AQ32" i="16" s="1"/>
  <c r="AM32" i="16"/>
  <c r="AN32" i="16" s="1"/>
  <c r="AV33" i="16"/>
  <c r="AU34" i="16"/>
  <c r="AX34" i="16"/>
  <c r="AY33" i="16"/>
  <c r="BA21" i="13"/>
  <c r="BB21" i="13" s="1"/>
  <c r="BB20" i="13"/>
  <c r="BD21" i="13"/>
  <c r="BE21" i="13" s="1"/>
  <c r="AS21" i="13"/>
  <c r="AT21" i="13" s="1"/>
  <c r="AV21" i="13"/>
  <c r="AW21" i="13" s="1"/>
  <c r="AM22" i="13"/>
  <c r="AM23" i="13"/>
  <c r="AM24" i="13"/>
  <c r="AM25" i="13"/>
  <c r="AM26" i="13"/>
  <c r="AM27" i="13"/>
  <c r="AM28" i="13"/>
  <c r="AM29" i="13"/>
  <c r="AM30" i="13"/>
  <c r="AM31" i="13"/>
  <c r="AM32" i="13"/>
  <c r="AM33" i="13"/>
  <c r="AM34" i="13"/>
  <c r="AM35" i="13"/>
  <c r="AM36" i="13"/>
  <c r="AM37" i="13"/>
  <c r="AM38" i="13"/>
  <c r="AM39" i="13"/>
  <c r="AM40" i="13"/>
  <c r="AM41" i="13"/>
  <c r="AM42" i="13"/>
  <c r="AM43" i="13"/>
  <c r="AM44" i="13"/>
  <c r="AM45" i="13"/>
  <c r="AM46" i="13"/>
  <c r="AM47" i="13"/>
  <c r="AM48" i="13"/>
  <c r="AM49" i="13"/>
  <c r="AM50" i="13"/>
  <c r="AM51" i="13"/>
  <c r="AM52" i="13"/>
  <c r="AM53" i="13"/>
  <c r="AM54" i="13"/>
  <c r="AM55" i="13"/>
  <c r="AM56" i="13"/>
  <c r="AM57" i="13"/>
  <c r="AM58" i="13"/>
  <c r="AM59" i="13"/>
  <c r="AM60" i="13"/>
  <c r="AM61" i="13"/>
  <c r="AM62" i="13"/>
  <c r="AM63" i="13"/>
  <c r="AM64" i="13"/>
  <c r="AM65" i="13"/>
  <c r="AM66" i="13"/>
  <c r="AM67" i="13"/>
  <c r="AM68" i="13"/>
  <c r="AM69" i="13"/>
  <c r="AM70" i="13"/>
  <c r="AM20" i="13"/>
  <c r="AN20" i="13" s="1"/>
  <c r="AO20" i="13" s="1"/>
  <c r="AM21" i="13"/>
  <c r="AJ22" i="13"/>
  <c r="AJ23" i="13"/>
  <c r="AJ24" i="13"/>
  <c r="AJ25" i="13"/>
  <c r="AJ26" i="13"/>
  <c r="AJ27" i="13"/>
  <c r="AJ28" i="13"/>
  <c r="AJ29" i="13"/>
  <c r="AJ30" i="13"/>
  <c r="AJ31" i="13"/>
  <c r="AJ32" i="13"/>
  <c r="AJ33" i="13"/>
  <c r="AJ34" i="13"/>
  <c r="AJ35" i="13"/>
  <c r="AJ36" i="13"/>
  <c r="AJ37" i="13"/>
  <c r="AJ38" i="13"/>
  <c r="AJ39" i="13"/>
  <c r="AJ40" i="13"/>
  <c r="AJ41" i="13"/>
  <c r="AJ42" i="13"/>
  <c r="AJ43" i="13"/>
  <c r="AJ44" i="13"/>
  <c r="AJ45" i="13"/>
  <c r="AJ46" i="13"/>
  <c r="AJ47" i="13"/>
  <c r="AJ48" i="13"/>
  <c r="AJ49" i="13"/>
  <c r="AJ50" i="13"/>
  <c r="AJ51" i="13"/>
  <c r="AJ52" i="13"/>
  <c r="AJ53" i="13"/>
  <c r="AJ54" i="13"/>
  <c r="AJ55" i="13"/>
  <c r="AJ56" i="13"/>
  <c r="AJ57" i="13"/>
  <c r="AJ58" i="13"/>
  <c r="AJ59" i="13"/>
  <c r="AJ60" i="13"/>
  <c r="AJ61" i="13"/>
  <c r="AJ62" i="13"/>
  <c r="AJ63" i="13"/>
  <c r="AJ64" i="13"/>
  <c r="AJ65" i="13"/>
  <c r="AJ66" i="13"/>
  <c r="AJ67" i="13"/>
  <c r="AJ68" i="13"/>
  <c r="AJ69" i="13"/>
  <c r="AJ70" i="13"/>
  <c r="AJ21" i="13"/>
  <c r="AJ20" i="13"/>
  <c r="AK20" i="13" s="1"/>
  <c r="AL20" i="13" s="1"/>
  <c r="AX29" i="12"/>
  <c r="AY29" i="12" s="1"/>
  <c r="AZ29" i="12" s="1"/>
  <c r="AU29" i="12"/>
  <c r="AV29" i="12" s="1"/>
  <c r="AW29" i="12" s="1"/>
  <c r="AP29" i="12"/>
  <c r="AQ29" i="12" s="1"/>
  <c r="AP33" i="16" l="1"/>
  <c r="AQ33" i="16" s="1"/>
  <c r="AM33" i="16"/>
  <c r="AN33" i="16" s="1"/>
  <c r="AY34" i="16"/>
  <c r="AX35" i="16"/>
  <c r="AU35" i="16"/>
  <c r="AV34" i="16"/>
  <c r="BA22" i="13"/>
  <c r="BB22" i="13" s="1"/>
  <c r="AR29" i="12"/>
  <c r="BD22" i="13"/>
  <c r="BE22" i="13" s="1"/>
  <c r="AV22" i="13"/>
  <c r="AW22" i="13" s="1"/>
  <c r="AS22" i="13"/>
  <c r="AT22" i="13" s="1"/>
  <c r="AN21" i="13"/>
  <c r="AO21" i="13" s="1"/>
  <c r="AK21" i="13"/>
  <c r="AL21" i="13" s="1"/>
  <c r="AP34" i="16" l="1"/>
  <c r="AQ34" i="16" s="1"/>
  <c r="AM34" i="16"/>
  <c r="AN34" i="16" s="1"/>
  <c r="AU36" i="16"/>
  <c r="AV35" i="16"/>
  <c r="AX36" i="16"/>
  <c r="AY35" i="16"/>
  <c r="BA23" i="13"/>
  <c r="BB23" i="13" s="1"/>
  <c r="BD23" i="13"/>
  <c r="BE23" i="13" s="1"/>
  <c r="AS23" i="13"/>
  <c r="AT23" i="13" s="1"/>
  <c r="AV23" i="13"/>
  <c r="AW23" i="13" s="1"/>
  <c r="AK22" i="13"/>
  <c r="AL22" i="13" s="1"/>
  <c r="AN22" i="13"/>
  <c r="AO22" i="13" s="1"/>
  <c r="AP35" i="16" l="1"/>
  <c r="AQ35" i="16" s="1"/>
  <c r="AM35" i="16"/>
  <c r="AN35" i="16" s="1"/>
  <c r="AX37" i="16"/>
  <c r="AY36" i="16"/>
  <c r="AV36" i="16"/>
  <c r="AU37" i="16"/>
  <c r="BA24" i="13"/>
  <c r="BB24" i="13" s="1"/>
  <c r="BD24" i="13"/>
  <c r="BE24" i="13" s="1"/>
  <c r="AS24" i="13"/>
  <c r="AT24" i="13" s="1"/>
  <c r="AV24" i="13"/>
  <c r="AW24" i="13" s="1"/>
  <c r="AK23" i="13"/>
  <c r="AL23" i="13" s="1"/>
  <c r="AN23" i="13"/>
  <c r="AO23" i="13" s="1"/>
  <c r="AP36" i="16" l="1"/>
  <c r="AQ36" i="16" s="1"/>
  <c r="AM36" i="16"/>
  <c r="AN36" i="16" s="1"/>
  <c r="AU38" i="16"/>
  <c r="AV37" i="16"/>
  <c r="AX38" i="16"/>
  <c r="AY37" i="16"/>
  <c r="BA25" i="13"/>
  <c r="BB25" i="13" s="1"/>
  <c r="BD25" i="13"/>
  <c r="BE25" i="13" s="1"/>
  <c r="AV25" i="13"/>
  <c r="AW25" i="13" s="1"/>
  <c r="AS25" i="13"/>
  <c r="AT25" i="13" s="1"/>
  <c r="AN24" i="13"/>
  <c r="AO24" i="13" s="1"/>
  <c r="AK24" i="13"/>
  <c r="AL24" i="13" s="1"/>
  <c r="AP37" i="16" l="1"/>
  <c r="AQ37" i="16" s="1"/>
  <c r="AM37" i="16"/>
  <c r="AN37" i="16" s="1"/>
  <c r="AX39" i="16"/>
  <c r="AY38" i="16"/>
  <c r="AY26" i="16" s="1"/>
  <c r="I33" i="16" s="1"/>
  <c r="J33" i="16" s="1"/>
  <c r="AU39" i="16"/>
  <c r="AV38" i="16"/>
  <c r="AV26" i="16" s="1"/>
  <c r="I32" i="16" s="1"/>
  <c r="BA26" i="13"/>
  <c r="BB26" i="13" s="1"/>
  <c r="BB17" i="13" s="1"/>
  <c r="E32" i="13" s="1"/>
  <c r="BD26" i="13"/>
  <c r="BE26" i="13" s="1"/>
  <c r="BE17" i="13" s="1"/>
  <c r="E33" i="13" s="1"/>
  <c r="AV26" i="13"/>
  <c r="AW26" i="13" s="1"/>
  <c r="AS26" i="13"/>
  <c r="AT26" i="13" s="1"/>
  <c r="AK25" i="13"/>
  <c r="AL25" i="13" s="1"/>
  <c r="AN25" i="13"/>
  <c r="AO25" i="13" s="1"/>
  <c r="AP38" i="16" l="1"/>
  <c r="AQ38" i="16" s="1"/>
  <c r="AQ26" i="16" s="1"/>
  <c r="I19" i="16" s="1"/>
  <c r="I43" i="16" s="1"/>
  <c r="K43" i="16" s="1"/>
  <c r="I58" i="16"/>
  <c r="I51" i="16"/>
  <c r="AM38" i="16"/>
  <c r="AN38" i="16" s="1"/>
  <c r="AN26" i="16" s="1"/>
  <c r="I18" i="16" s="1"/>
  <c r="I42" i="16" s="1"/>
  <c r="K42" i="16" s="1"/>
  <c r="J32" i="16"/>
  <c r="J37" i="16" s="1"/>
  <c r="I37" i="16"/>
  <c r="AU40" i="16"/>
  <c r="AV39" i="16"/>
  <c r="AX40" i="16"/>
  <c r="AY39" i="16"/>
  <c r="BA27" i="13"/>
  <c r="BB27" i="13" s="1"/>
  <c r="BD27" i="13"/>
  <c r="BE27" i="13" s="1"/>
  <c r="AT17" i="13"/>
  <c r="D32" i="13" s="1"/>
  <c r="AS27" i="13"/>
  <c r="AT27" i="13" s="1"/>
  <c r="AW17" i="13"/>
  <c r="D33" i="13" s="1"/>
  <c r="AV27" i="13"/>
  <c r="AW27" i="13" s="1"/>
  <c r="AN26" i="13"/>
  <c r="AO26" i="13" s="1"/>
  <c r="AO17" i="13" s="1"/>
  <c r="F33" i="13" s="1"/>
  <c r="AK26" i="13"/>
  <c r="AL26" i="13" s="1"/>
  <c r="AL17" i="13" s="1"/>
  <c r="F32" i="13" s="1"/>
  <c r="AP39" i="16" l="1"/>
  <c r="AQ39" i="16" s="1"/>
  <c r="J58" i="16"/>
  <c r="K58" i="16"/>
  <c r="J51" i="16"/>
  <c r="K51" i="16"/>
  <c r="AM39" i="16"/>
  <c r="AN39" i="16" s="1"/>
  <c r="J18" i="16"/>
  <c r="K18" i="16"/>
  <c r="K19" i="16"/>
  <c r="J19" i="16"/>
  <c r="J43" i="16" s="1"/>
  <c r="I21" i="16"/>
  <c r="AY40" i="16"/>
  <c r="AX41" i="16"/>
  <c r="AV40" i="16"/>
  <c r="AU41" i="16"/>
  <c r="BA28" i="13"/>
  <c r="BB28" i="13" s="1"/>
  <c r="BD28" i="13"/>
  <c r="BE28" i="13" s="1"/>
  <c r="AS28" i="13"/>
  <c r="AT28" i="13" s="1"/>
  <c r="AV28" i="13"/>
  <c r="AW28" i="13" s="1"/>
  <c r="AK27" i="13"/>
  <c r="AL27" i="13" s="1"/>
  <c r="AN27" i="13"/>
  <c r="AO27" i="13" s="1"/>
  <c r="AP40" i="16" l="1"/>
  <c r="AQ40" i="16" s="1"/>
  <c r="AM40" i="16"/>
  <c r="AN40" i="16" s="1"/>
  <c r="I57" i="16"/>
  <c r="I50" i="16"/>
  <c r="K21" i="16"/>
  <c r="AY41" i="16"/>
  <c r="AX42" i="16"/>
  <c r="J42" i="16"/>
  <c r="J47" i="16" s="1"/>
  <c r="J21" i="16"/>
  <c r="K47" i="16"/>
  <c r="I47" i="16"/>
  <c r="AU42" i="16"/>
  <c r="AV41" i="16"/>
  <c r="BA29" i="13"/>
  <c r="BB29" i="13" s="1"/>
  <c r="BD29" i="13"/>
  <c r="BE29" i="13" s="1"/>
  <c r="AV29" i="13"/>
  <c r="AW29" i="13" s="1"/>
  <c r="AS29" i="13"/>
  <c r="AT29" i="13" s="1"/>
  <c r="AK28" i="13"/>
  <c r="AL28" i="13" s="1"/>
  <c r="AN28" i="13"/>
  <c r="AO28" i="13" s="1"/>
  <c r="AP41" i="16" l="1"/>
  <c r="AQ41" i="16" s="1"/>
  <c r="AM41" i="16"/>
  <c r="AN41" i="16" s="1"/>
  <c r="J50" i="16"/>
  <c r="J54" i="16" s="1"/>
  <c r="K50" i="16"/>
  <c r="K54" i="16" s="1"/>
  <c r="K57" i="16"/>
  <c r="K61" i="16" s="1"/>
  <c r="J57" i="16"/>
  <c r="J61" i="16" s="1"/>
  <c r="I54" i="16"/>
  <c r="I61" i="16"/>
  <c r="AX43" i="16"/>
  <c r="AY42" i="16"/>
  <c r="AV42" i="16"/>
  <c r="AU43" i="16"/>
  <c r="BA30" i="13"/>
  <c r="BB30" i="13" s="1"/>
  <c r="BD30" i="13"/>
  <c r="BE30" i="13" s="1"/>
  <c r="AS30" i="13"/>
  <c r="AT30" i="13" s="1"/>
  <c r="AV30" i="13"/>
  <c r="AW30" i="13" s="1"/>
  <c r="AN29" i="13"/>
  <c r="AO29" i="13" s="1"/>
  <c r="AK29" i="13"/>
  <c r="AL29" i="13" s="1"/>
  <c r="AP42" i="16" l="1"/>
  <c r="AQ42" i="16" s="1"/>
  <c r="AM42" i="16"/>
  <c r="AN42" i="16" s="1"/>
  <c r="AV43" i="16"/>
  <c r="AU44" i="16"/>
  <c r="AX44" i="16"/>
  <c r="AY43" i="16"/>
  <c r="BA31" i="13"/>
  <c r="BB31" i="13" s="1"/>
  <c r="BD31" i="13"/>
  <c r="BE31" i="13" s="1"/>
  <c r="AV31" i="13"/>
  <c r="AW31" i="13" s="1"/>
  <c r="AS31" i="13"/>
  <c r="AT31" i="13" s="1"/>
  <c r="AK30" i="13"/>
  <c r="AL30" i="13" s="1"/>
  <c r="AN30" i="13"/>
  <c r="AO30" i="13" s="1"/>
  <c r="AP43" i="16" l="1"/>
  <c r="AQ43" i="16" s="1"/>
  <c r="AM43" i="16"/>
  <c r="AN43" i="16" s="1"/>
  <c r="AY44" i="16"/>
  <c r="AX45" i="16"/>
  <c r="AV44" i="16"/>
  <c r="AU45" i="16"/>
  <c r="BA32" i="13"/>
  <c r="BB32" i="13" s="1"/>
  <c r="BD32" i="13"/>
  <c r="BE32" i="13" s="1"/>
  <c r="AS32" i="13"/>
  <c r="AT32" i="13" s="1"/>
  <c r="AV32" i="13"/>
  <c r="AW32" i="13" s="1"/>
  <c r="AN31" i="13"/>
  <c r="AO31" i="13" s="1"/>
  <c r="AK31" i="13"/>
  <c r="AL31" i="13" s="1"/>
  <c r="AP44" i="16" l="1"/>
  <c r="AQ44" i="16" s="1"/>
  <c r="AM44" i="16"/>
  <c r="AN44" i="16" s="1"/>
  <c r="AU46" i="16"/>
  <c r="AV45" i="16"/>
  <c r="AY45" i="16"/>
  <c r="AX46" i="16"/>
  <c r="BA33" i="13"/>
  <c r="BB33" i="13" s="1"/>
  <c r="BD33" i="13"/>
  <c r="BE33" i="13" s="1"/>
  <c r="AV33" i="13"/>
  <c r="AW33" i="13" s="1"/>
  <c r="AS33" i="13"/>
  <c r="AT33" i="13" s="1"/>
  <c r="AN32" i="13"/>
  <c r="AO32" i="13" s="1"/>
  <c r="AK32" i="13"/>
  <c r="AL32" i="13" s="1"/>
  <c r="AM45" i="16" l="1"/>
  <c r="AN45" i="16" s="1"/>
  <c r="AP45" i="16"/>
  <c r="AQ45" i="16" s="1"/>
  <c r="AX47" i="16"/>
  <c r="AY46" i="16"/>
  <c r="AV46" i="16"/>
  <c r="AU47" i="16"/>
  <c r="BA34" i="13"/>
  <c r="BB34" i="13" s="1"/>
  <c r="BD34" i="13"/>
  <c r="BE34" i="13" s="1"/>
  <c r="AV34" i="13"/>
  <c r="AW34" i="13" s="1"/>
  <c r="AS34" i="13"/>
  <c r="AT34" i="13" s="1"/>
  <c r="AK33" i="13"/>
  <c r="AL33" i="13" s="1"/>
  <c r="AN33" i="13"/>
  <c r="AO33" i="13" s="1"/>
  <c r="AM46" i="16" l="1"/>
  <c r="AN46" i="16" s="1"/>
  <c r="AP46" i="16"/>
  <c r="AQ46" i="16" s="1"/>
  <c r="AU48" i="16"/>
  <c r="AV47" i="16"/>
  <c r="AY47" i="16"/>
  <c r="AX48" i="16"/>
  <c r="BA35" i="13"/>
  <c r="BB35" i="13" s="1"/>
  <c r="BD35" i="13"/>
  <c r="BE35" i="13" s="1"/>
  <c r="AS35" i="13"/>
  <c r="AT35" i="13" s="1"/>
  <c r="AV35" i="13"/>
  <c r="AW35" i="13" s="1"/>
  <c r="AN34" i="13"/>
  <c r="AO34" i="13" s="1"/>
  <c r="AK34" i="13"/>
  <c r="AL34" i="13" s="1"/>
  <c r="AM47" i="16" l="1"/>
  <c r="AN47" i="16" s="1"/>
  <c r="AP47" i="16"/>
  <c r="AQ47" i="16" s="1"/>
  <c r="AU49" i="16"/>
  <c r="AV48" i="16"/>
  <c r="AX49" i="16"/>
  <c r="AY48" i="16"/>
  <c r="BA36" i="13"/>
  <c r="BB36" i="13" s="1"/>
  <c r="BD36" i="13"/>
  <c r="BE36" i="13" s="1"/>
  <c r="AS36" i="13"/>
  <c r="AT36" i="13" s="1"/>
  <c r="AV36" i="13"/>
  <c r="AW36" i="13" s="1"/>
  <c r="AK35" i="13"/>
  <c r="AL35" i="13" s="1"/>
  <c r="AN35" i="13"/>
  <c r="AO35" i="13" s="1"/>
  <c r="AM48" i="16" l="1"/>
  <c r="AN48" i="16" s="1"/>
  <c r="AP48" i="16"/>
  <c r="AQ48" i="16" s="1"/>
  <c r="AX50" i="16"/>
  <c r="AY49" i="16"/>
  <c r="AU50" i="16"/>
  <c r="AV49" i="16"/>
  <c r="BA37" i="13"/>
  <c r="BB37" i="13" s="1"/>
  <c r="BD37" i="13"/>
  <c r="BE37" i="13" s="1"/>
  <c r="AV37" i="13"/>
  <c r="AW37" i="13" s="1"/>
  <c r="AS37" i="13"/>
  <c r="AT37" i="13" s="1"/>
  <c r="AN36" i="13"/>
  <c r="AO36" i="13" s="1"/>
  <c r="AK36" i="13"/>
  <c r="AL36" i="13" s="1"/>
  <c r="AM49" i="16" l="1"/>
  <c r="AN49" i="16" s="1"/>
  <c r="AP49" i="16"/>
  <c r="AQ49" i="16" s="1"/>
  <c r="AU51" i="16"/>
  <c r="AV50" i="16"/>
  <c r="AX51" i="16"/>
  <c r="AY50" i="16"/>
  <c r="BA38" i="13"/>
  <c r="BB38" i="13" s="1"/>
  <c r="BD38" i="13"/>
  <c r="BE38" i="13" s="1"/>
  <c r="AV38" i="13"/>
  <c r="AW38" i="13" s="1"/>
  <c r="AS38" i="13"/>
  <c r="AT38" i="13" s="1"/>
  <c r="AK37" i="13"/>
  <c r="AL37" i="13" s="1"/>
  <c r="AN37" i="13"/>
  <c r="AO37" i="13" s="1"/>
  <c r="AM50" i="16" l="1"/>
  <c r="AN50" i="16" s="1"/>
  <c r="AP50" i="16"/>
  <c r="AQ50" i="16" s="1"/>
  <c r="AY51" i="16"/>
  <c r="AX52" i="16"/>
  <c r="AU52" i="16"/>
  <c r="AV51" i="16"/>
  <c r="BA39" i="13"/>
  <c r="BB39" i="13" s="1"/>
  <c r="BD39" i="13"/>
  <c r="BE39" i="13" s="1"/>
  <c r="AS39" i="13"/>
  <c r="AT39" i="13" s="1"/>
  <c r="AV39" i="13"/>
  <c r="AW39" i="13" s="1"/>
  <c r="AN38" i="13"/>
  <c r="AO38" i="13" s="1"/>
  <c r="AK38" i="13"/>
  <c r="AL38" i="13" s="1"/>
  <c r="AM51" i="16" l="1"/>
  <c r="AN51" i="16" s="1"/>
  <c r="AP51" i="16"/>
  <c r="AQ51" i="16" s="1"/>
  <c r="AU53" i="16"/>
  <c r="AV52" i="16"/>
  <c r="AX53" i="16"/>
  <c r="AY52" i="16"/>
  <c r="BA40" i="13"/>
  <c r="BB40" i="13" s="1"/>
  <c r="BD40" i="13"/>
  <c r="BE40" i="13" s="1"/>
  <c r="AS40" i="13"/>
  <c r="AT40" i="13" s="1"/>
  <c r="AV40" i="13"/>
  <c r="AW40" i="13" s="1"/>
  <c r="AK39" i="13"/>
  <c r="AL39" i="13" s="1"/>
  <c r="AN39" i="13"/>
  <c r="AO39" i="13" s="1"/>
  <c r="AM52" i="16" l="1"/>
  <c r="AN52" i="16" s="1"/>
  <c r="AP52" i="16"/>
  <c r="AQ52" i="16" s="1"/>
  <c r="AX54" i="16"/>
  <c r="AY53" i="16"/>
  <c r="AU54" i="16"/>
  <c r="AV53" i="16"/>
  <c r="BA41" i="13"/>
  <c r="BB41" i="13" s="1"/>
  <c r="BD41" i="13"/>
  <c r="BE41" i="13" s="1"/>
  <c r="AV41" i="13"/>
  <c r="AW41" i="13" s="1"/>
  <c r="AS41" i="13"/>
  <c r="AT41" i="13" s="1"/>
  <c r="AN40" i="13"/>
  <c r="AO40" i="13" s="1"/>
  <c r="AK40" i="13"/>
  <c r="AL40" i="13" s="1"/>
  <c r="AM53" i="16" l="1"/>
  <c r="AN53" i="16" s="1"/>
  <c r="AP53" i="16"/>
  <c r="AQ53" i="16" s="1"/>
  <c r="AU55" i="16"/>
  <c r="AV54" i="16"/>
  <c r="AX55" i="16"/>
  <c r="AY54" i="16"/>
  <c r="BA42" i="13"/>
  <c r="BB42" i="13" s="1"/>
  <c r="BD42" i="13"/>
  <c r="BE42" i="13" s="1"/>
  <c r="AS42" i="13"/>
  <c r="AT42" i="13" s="1"/>
  <c r="AV42" i="13"/>
  <c r="AW42" i="13" s="1"/>
  <c r="AK41" i="13"/>
  <c r="AL41" i="13" s="1"/>
  <c r="AN41" i="13"/>
  <c r="AO41" i="13" s="1"/>
  <c r="AM54" i="16" l="1"/>
  <c r="AN54" i="16" s="1"/>
  <c r="AP54" i="16"/>
  <c r="AQ54" i="16" s="1"/>
  <c r="AY55" i="16"/>
  <c r="AX56" i="16"/>
  <c r="AU56" i="16"/>
  <c r="AV55" i="16"/>
  <c r="BA43" i="13"/>
  <c r="BB43" i="13" s="1"/>
  <c r="BD43" i="13"/>
  <c r="BE43" i="13" s="1"/>
  <c r="AV43" i="13"/>
  <c r="AW43" i="13" s="1"/>
  <c r="AS43" i="13"/>
  <c r="AT43" i="13" s="1"/>
  <c r="AN42" i="13"/>
  <c r="AO42" i="13" s="1"/>
  <c r="AK42" i="13"/>
  <c r="AL42" i="13" s="1"/>
  <c r="AM55" i="16" l="1"/>
  <c r="AN55" i="16" s="1"/>
  <c r="AP55" i="16"/>
  <c r="AQ55" i="16" s="1"/>
  <c r="AU57" i="16"/>
  <c r="AV56" i="16"/>
  <c r="AX57" i="16"/>
  <c r="AY56" i="16"/>
  <c r="BA44" i="13"/>
  <c r="BB44" i="13" s="1"/>
  <c r="BD44" i="13"/>
  <c r="BE44" i="13" s="1"/>
  <c r="AS44" i="13"/>
  <c r="AT44" i="13" s="1"/>
  <c r="AV44" i="13"/>
  <c r="AW44" i="13" s="1"/>
  <c r="AK43" i="13"/>
  <c r="AL43" i="13" s="1"/>
  <c r="AN43" i="13"/>
  <c r="AO43" i="13" s="1"/>
  <c r="AM56" i="16" l="1"/>
  <c r="AN56" i="16" s="1"/>
  <c r="AP56" i="16"/>
  <c r="AQ56" i="16" s="1"/>
  <c r="AX58" i="16"/>
  <c r="AY57" i="16"/>
  <c r="AU58" i="16"/>
  <c r="AV57" i="16"/>
  <c r="BA45" i="13"/>
  <c r="BB45" i="13" s="1"/>
  <c r="BD45" i="13"/>
  <c r="BE45" i="13" s="1"/>
  <c r="AV45" i="13"/>
  <c r="AW45" i="13" s="1"/>
  <c r="AS45" i="13"/>
  <c r="AT45" i="13" s="1"/>
  <c r="AN44" i="13"/>
  <c r="AO44" i="13" s="1"/>
  <c r="AK44" i="13"/>
  <c r="AL44" i="13" s="1"/>
  <c r="AM57" i="16" l="1"/>
  <c r="AN57" i="16" s="1"/>
  <c r="AP57" i="16"/>
  <c r="AQ57" i="16" s="1"/>
  <c r="AU59" i="16"/>
  <c r="AV58" i="16"/>
  <c r="AX59" i="16"/>
  <c r="AY58" i="16"/>
  <c r="BA46" i="13"/>
  <c r="BB46" i="13" s="1"/>
  <c r="BD46" i="13"/>
  <c r="BE46" i="13" s="1"/>
  <c r="AV46" i="13"/>
  <c r="AW46" i="13" s="1"/>
  <c r="AS46" i="13"/>
  <c r="AT46" i="13" s="1"/>
  <c r="AK45" i="13"/>
  <c r="AL45" i="13" s="1"/>
  <c r="AN45" i="13"/>
  <c r="AO45" i="13" s="1"/>
  <c r="AM58" i="16" l="1"/>
  <c r="AN58" i="16" s="1"/>
  <c r="AP58" i="16"/>
  <c r="AQ58" i="16" s="1"/>
  <c r="AY59" i="16"/>
  <c r="AX60" i="16"/>
  <c r="AU60" i="16"/>
  <c r="AV59" i="16"/>
  <c r="BA47" i="13"/>
  <c r="BB47" i="13" s="1"/>
  <c r="BD47" i="13"/>
  <c r="BE47" i="13" s="1"/>
  <c r="AS47" i="13"/>
  <c r="AT47" i="13" s="1"/>
  <c r="AV47" i="13"/>
  <c r="AW47" i="13" s="1"/>
  <c r="AN46" i="13"/>
  <c r="AO46" i="13" s="1"/>
  <c r="AK46" i="13"/>
  <c r="AL46" i="13" s="1"/>
  <c r="AM59" i="16" l="1"/>
  <c r="AN59" i="16" s="1"/>
  <c r="AP59" i="16"/>
  <c r="AQ59" i="16" s="1"/>
  <c r="AU61" i="16"/>
  <c r="AV60" i="16"/>
  <c r="AM60" i="16"/>
  <c r="AN60" i="16" s="1"/>
  <c r="AX61" i="16"/>
  <c r="AY60" i="16"/>
  <c r="BA48" i="13"/>
  <c r="BB48" i="13" s="1"/>
  <c r="BD48" i="13"/>
  <c r="BE48" i="13" s="1"/>
  <c r="AV48" i="13"/>
  <c r="AW48" i="13" s="1"/>
  <c r="AS48" i="13"/>
  <c r="AT48" i="13" s="1"/>
  <c r="AK47" i="13"/>
  <c r="AL47" i="13" s="1"/>
  <c r="AN47" i="13"/>
  <c r="AO47" i="13" s="1"/>
  <c r="AP60" i="16" l="1"/>
  <c r="AQ60" i="16" s="1"/>
  <c r="AX62" i="16"/>
  <c r="AY61" i="16"/>
  <c r="AM61" i="16"/>
  <c r="AN61" i="16" s="1"/>
  <c r="AU62" i="16"/>
  <c r="AV61" i="16"/>
  <c r="BA49" i="13"/>
  <c r="BB49" i="13" s="1"/>
  <c r="BD49" i="13"/>
  <c r="BE49" i="13" s="1"/>
  <c r="AS49" i="13"/>
  <c r="AT49" i="13" s="1"/>
  <c r="AV49" i="13"/>
  <c r="AW49" i="13" s="1"/>
  <c r="AK48" i="13"/>
  <c r="AL48" i="13" s="1"/>
  <c r="AN48" i="13"/>
  <c r="AO48" i="13" s="1"/>
  <c r="AP61" i="16" l="1"/>
  <c r="AQ61" i="16" s="1"/>
  <c r="AM62" i="16"/>
  <c r="AN62" i="16" s="1"/>
  <c r="AU63" i="16"/>
  <c r="AV62" i="16"/>
  <c r="AX63" i="16"/>
  <c r="AY62" i="16"/>
  <c r="BA50" i="13"/>
  <c r="BB50" i="13" s="1"/>
  <c r="BD50" i="13"/>
  <c r="BE50" i="13" s="1"/>
  <c r="AV50" i="13"/>
  <c r="AW50" i="13" s="1"/>
  <c r="AS50" i="13"/>
  <c r="AT50" i="13" s="1"/>
  <c r="AN49" i="13"/>
  <c r="AO49" i="13" s="1"/>
  <c r="AK49" i="13"/>
  <c r="AL49" i="13" s="1"/>
  <c r="AP62" i="16" l="1"/>
  <c r="AQ62" i="16" s="1"/>
  <c r="AU64" i="16"/>
  <c r="AV63" i="16"/>
  <c r="AY63" i="16"/>
  <c r="AX64" i="16"/>
  <c r="AM63" i="16"/>
  <c r="AN63" i="16" s="1"/>
  <c r="BA51" i="13"/>
  <c r="BB51" i="13" s="1"/>
  <c r="BD51" i="13"/>
  <c r="BE51" i="13" s="1"/>
  <c r="AS51" i="13"/>
  <c r="AT51" i="13" s="1"/>
  <c r="AV51" i="13"/>
  <c r="AW51" i="13" s="1"/>
  <c r="AN50" i="13"/>
  <c r="AO50" i="13" s="1"/>
  <c r="AK50" i="13"/>
  <c r="AL50" i="13" s="1"/>
  <c r="AP63" i="16" l="1"/>
  <c r="AQ63" i="16" s="1"/>
  <c r="AM64" i="16"/>
  <c r="AN64" i="16" s="1"/>
  <c r="AX65" i="16"/>
  <c r="AY64" i="16"/>
  <c r="AU65" i="16"/>
  <c r="AV64" i="16"/>
  <c r="BA52" i="13"/>
  <c r="BB52" i="13" s="1"/>
  <c r="BD52" i="13"/>
  <c r="BE52" i="13" s="1"/>
  <c r="AV52" i="13"/>
  <c r="AW52" i="13" s="1"/>
  <c r="AS52" i="13"/>
  <c r="AT52" i="13" s="1"/>
  <c r="AK51" i="13"/>
  <c r="AL51" i="13" s="1"/>
  <c r="AN51" i="13"/>
  <c r="AO51" i="13" s="1"/>
  <c r="AP64" i="16" l="1"/>
  <c r="AQ64" i="16" s="1"/>
  <c r="AU66" i="16"/>
  <c r="AV65" i="16"/>
  <c r="AX66" i="16"/>
  <c r="AY65" i="16"/>
  <c r="AM65" i="16"/>
  <c r="AN65" i="16" s="1"/>
  <c r="BA53" i="13"/>
  <c r="BB53" i="13" s="1"/>
  <c r="BD53" i="13"/>
  <c r="BE53" i="13" s="1"/>
  <c r="AS53" i="13"/>
  <c r="AT53" i="13" s="1"/>
  <c r="AV53" i="13"/>
  <c r="AW53" i="13" s="1"/>
  <c r="AN52" i="13"/>
  <c r="AO52" i="13" s="1"/>
  <c r="AK52" i="13"/>
  <c r="AL52" i="13" s="1"/>
  <c r="AP65" i="16" l="1"/>
  <c r="AQ65" i="16" s="1"/>
  <c r="AX67" i="16"/>
  <c r="AY66" i="16"/>
  <c r="AM66" i="16"/>
  <c r="AN66" i="16" s="1"/>
  <c r="AU67" i="16"/>
  <c r="AV66" i="16"/>
  <c r="BA54" i="13"/>
  <c r="BB54" i="13" s="1"/>
  <c r="BD54" i="13"/>
  <c r="BE54" i="13" s="1"/>
  <c r="AV54" i="13"/>
  <c r="AW54" i="13" s="1"/>
  <c r="AS54" i="13"/>
  <c r="AT54" i="13" s="1"/>
  <c r="AK53" i="13"/>
  <c r="AL53" i="13" s="1"/>
  <c r="AN53" i="13"/>
  <c r="AO53" i="13" s="1"/>
  <c r="AP66" i="16" l="1"/>
  <c r="AQ66" i="16" s="1"/>
  <c r="AU68" i="16"/>
  <c r="AV67" i="16"/>
  <c r="AM67" i="16"/>
  <c r="AN67" i="16" s="1"/>
  <c r="AY67" i="16"/>
  <c r="AX68" i="16"/>
  <c r="BA55" i="13"/>
  <c r="BB55" i="13" s="1"/>
  <c r="BD55" i="13"/>
  <c r="BE55" i="13" s="1"/>
  <c r="AS55" i="13"/>
  <c r="AT55" i="13" s="1"/>
  <c r="AV55" i="13"/>
  <c r="AW55" i="13" s="1"/>
  <c r="AN54" i="13"/>
  <c r="AO54" i="13" s="1"/>
  <c r="AK54" i="13"/>
  <c r="AL54" i="13" s="1"/>
  <c r="AP67" i="16" l="1"/>
  <c r="AQ67" i="16" s="1"/>
  <c r="AX69" i="16"/>
  <c r="AY68" i="16"/>
  <c r="AM68" i="16"/>
  <c r="AN68" i="16" s="1"/>
  <c r="AU69" i="16"/>
  <c r="AV68" i="16"/>
  <c r="BA56" i="13"/>
  <c r="BB56" i="13" s="1"/>
  <c r="BD56" i="13"/>
  <c r="BE56" i="13" s="1"/>
  <c r="AV56" i="13"/>
  <c r="AW56" i="13" s="1"/>
  <c r="AS56" i="13"/>
  <c r="AT56" i="13" s="1"/>
  <c r="AK55" i="13"/>
  <c r="AL55" i="13" s="1"/>
  <c r="AN55" i="13"/>
  <c r="AO55" i="13" s="1"/>
  <c r="AM29" i="12"/>
  <c r="AN29" i="12" s="1"/>
  <c r="AO29" i="12" s="1"/>
  <c r="AP68" i="16" l="1"/>
  <c r="AQ68" i="16" s="1"/>
  <c r="AU70" i="16"/>
  <c r="AV69" i="16"/>
  <c r="AM69" i="16"/>
  <c r="AN69" i="16" s="1"/>
  <c r="AX70" i="16"/>
  <c r="AY69" i="16"/>
  <c r="BA57" i="13"/>
  <c r="BB57" i="13" s="1"/>
  <c r="BD57" i="13"/>
  <c r="BE57" i="13" s="1"/>
  <c r="AS57" i="13"/>
  <c r="AT57" i="13" s="1"/>
  <c r="AV57" i="13"/>
  <c r="AW57" i="13" s="1"/>
  <c r="AK56" i="13"/>
  <c r="AL56" i="13" s="1"/>
  <c r="AN56" i="13"/>
  <c r="AO56" i="13" s="1"/>
  <c r="R26" i="13"/>
  <c r="Q26" i="13"/>
  <c r="P26" i="13"/>
  <c r="R19" i="13"/>
  <c r="Q19" i="13"/>
  <c r="P19" i="13"/>
  <c r="P21" i="13"/>
  <c r="W12" i="12"/>
  <c r="S11" i="12"/>
  <c r="W11" i="12"/>
  <c r="AH8" i="12"/>
  <c r="AG8" i="12"/>
  <c r="AF8" i="12"/>
  <c r="AE8" i="12"/>
  <c r="W116" i="15"/>
  <c r="R141" i="12" s="1"/>
  <c r="X116" i="15"/>
  <c r="S141" i="12" s="1"/>
  <c r="Y116" i="15"/>
  <c r="T141" i="12" s="1"/>
  <c r="Z116" i="15"/>
  <c r="U141" i="12" s="1"/>
  <c r="AA116" i="15"/>
  <c r="V141" i="12" s="1"/>
  <c r="AB116" i="15"/>
  <c r="W141" i="12" s="1"/>
  <c r="AC116" i="15"/>
  <c r="X141" i="12" s="1"/>
  <c r="AD116" i="15"/>
  <c r="Y141" i="12" s="1"/>
  <c r="AE116" i="15"/>
  <c r="Z141" i="12" s="1"/>
  <c r="AF116" i="15"/>
  <c r="AA141" i="12" s="1"/>
  <c r="AG116" i="15"/>
  <c r="AB141" i="12" s="1"/>
  <c r="W117" i="15"/>
  <c r="R142" i="12" s="1"/>
  <c r="X117" i="15"/>
  <c r="S142" i="12" s="1"/>
  <c r="Y117" i="15"/>
  <c r="T142" i="12" s="1"/>
  <c r="Z117" i="15"/>
  <c r="U142" i="12" s="1"/>
  <c r="AA117" i="15"/>
  <c r="V142" i="12" s="1"/>
  <c r="AB117" i="15"/>
  <c r="W142" i="12" s="1"/>
  <c r="AC117" i="15"/>
  <c r="X142" i="12" s="1"/>
  <c r="AD117" i="15"/>
  <c r="Y142" i="12" s="1"/>
  <c r="AE117" i="15"/>
  <c r="Z142" i="12" s="1"/>
  <c r="AF117" i="15"/>
  <c r="AA142" i="12" s="1"/>
  <c r="AG117" i="15"/>
  <c r="AB142" i="12" s="1"/>
  <c r="W118" i="15"/>
  <c r="X118" i="15"/>
  <c r="Y118" i="15"/>
  <c r="Z118" i="15"/>
  <c r="AA118" i="15"/>
  <c r="AB118" i="15"/>
  <c r="AC118" i="15"/>
  <c r="AD118" i="15"/>
  <c r="AE118" i="15"/>
  <c r="AF118" i="15"/>
  <c r="AG118" i="15"/>
  <c r="W119" i="15"/>
  <c r="X119" i="15"/>
  <c r="Y119" i="15"/>
  <c r="Z119" i="15"/>
  <c r="AA119" i="15"/>
  <c r="AB119" i="15"/>
  <c r="AC119" i="15"/>
  <c r="AD119" i="15"/>
  <c r="AE119" i="15"/>
  <c r="AF119" i="15"/>
  <c r="AG119" i="15"/>
  <c r="W120" i="15"/>
  <c r="X120" i="15"/>
  <c r="Y120" i="15"/>
  <c r="Z120" i="15"/>
  <c r="AA120" i="15"/>
  <c r="AB120" i="15"/>
  <c r="AC120" i="15"/>
  <c r="AD120" i="15"/>
  <c r="AE120" i="15"/>
  <c r="AF120" i="15"/>
  <c r="AG120" i="15"/>
  <c r="U117" i="15"/>
  <c r="P142" i="12" s="1"/>
  <c r="U118" i="15"/>
  <c r="U119" i="15"/>
  <c r="U120" i="15"/>
  <c r="V117" i="15"/>
  <c r="Q142" i="12" s="1"/>
  <c r="V118" i="15"/>
  <c r="V119" i="15"/>
  <c r="V120" i="15"/>
  <c r="V116" i="15"/>
  <c r="Q141" i="12" s="1"/>
  <c r="U116" i="15"/>
  <c r="P141" i="12" s="1"/>
  <c r="W111" i="15"/>
  <c r="R136" i="12" s="1"/>
  <c r="X111" i="15"/>
  <c r="S136" i="12" s="1"/>
  <c r="Y111" i="15"/>
  <c r="T136" i="12" s="1"/>
  <c r="Z111" i="15"/>
  <c r="U136" i="12" s="1"/>
  <c r="AA111" i="15"/>
  <c r="V136" i="12" s="1"/>
  <c r="AB111" i="15"/>
  <c r="W136" i="12" s="1"/>
  <c r="AC111" i="15"/>
  <c r="X136" i="12" s="1"/>
  <c r="AD111" i="15"/>
  <c r="Y136" i="12" s="1"/>
  <c r="AE111" i="15"/>
  <c r="Z136" i="12" s="1"/>
  <c r="AF111" i="15"/>
  <c r="AA136" i="12" s="1"/>
  <c r="AG111" i="15"/>
  <c r="AB136" i="12" s="1"/>
  <c r="W112" i="15"/>
  <c r="R137" i="12" s="1"/>
  <c r="X112" i="15"/>
  <c r="S137" i="12" s="1"/>
  <c r="Y112" i="15"/>
  <c r="T137" i="12" s="1"/>
  <c r="Z112" i="15"/>
  <c r="U137" i="12" s="1"/>
  <c r="AA112" i="15"/>
  <c r="V137" i="12" s="1"/>
  <c r="AB112" i="15"/>
  <c r="W137" i="12" s="1"/>
  <c r="AC112" i="15"/>
  <c r="X137" i="12" s="1"/>
  <c r="AD112" i="15"/>
  <c r="Y137" i="12" s="1"/>
  <c r="AE112" i="15"/>
  <c r="Z137" i="12" s="1"/>
  <c r="AF112" i="15"/>
  <c r="AA137" i="12" s="1"/>
  <c r="AG112" i="15"/>
  <c r="AB137" i="12" s="1"/>
  <c r="W113" i="15"/>
  <c r="R138" i="12" s="1"/>
  <c r="X113" i="15"/>
  <c r="S138" i="12" s="1"/>
  <c r="Y113" i="15"/>
  <c r="T138" i="12" s="1"/>
  <c r="Z113" i="15"/>
  <c r="U138" i="12" s="1"/>
  <c r="AA113" i="15"/>
  <c r="V138" i="12" s="1"/>
  <c r="AB113" i="15"/>
  <c r="W138" i="12" s="1"/>
  <c r="AC113" i="15"/>
  <c r="X138" i="12" s="1"/>
  <c r="AD113" i="15"/>
  <c r="Y138" i="12" s="1"/>
  <c r="AE113" i="15"/>
  <c r="Z138" i="12" s="1"/>
  <c r="AF113" i="15"/>
  <c r="AA138" i="12" s="1"/>
  <c r="AG113" i="15"/>
  <c r="AB138" i="12" s="1"/>
  <c r="W114" i="15"/>
  <c r="R139" i="12" s="1"/>
  <c r="X114" i="15"/>
  <c r="S139" i="12" s="1"/>
  <c r="Y114" i="15"/>
  <c r="T139" i="12" s="1"/>
  <c r="Z114" i="15"/>
  <c r="U139" i="12" s="1"/>
  <c r="AA114" i="15"/>
  <c r="V139" i="12" s="1"/>
  <c r="AB114" i="15"/>
  <c r="W139" i="12" s="1"/>
  <c r="AC114" i="15"/>
  <c r="X139" i="12" s="1"/>
  <c r="AD114" i="15"/>
  <c r="Y139" i="12" s="1"/>
  <c r="AE114" i="15"/>
  <c r="Z139" i="12" s="1"/>
  <c r="AF114" i="15"/>
  <c r="AA139" i="12" s="1"/>
  <c r="AG114" i="15"/>
  <c r="AB139" i="12" s="1"/>
  <c r="W115" i="15"/>
  <c r="R140" i="12" s="1"/>
  <c r="X115" i="15"/>
  <c r="S140" i="12" s="1"/>
  <c r="Y115" i="15"/>
  <c r="T140" i="12" s="1"/>
  <c r="Z115" i="15"/>
  <c r="U140" i="12" s="1"/>
  <c r="AA115" i="15"/>
  <c r="V140" i="12" s="1"/>
  <c r="AB115" i="15"/>
  <c r="W140" i="12" s="1"/>
  <c r="AC115" i="15"/>
  <c r="X140" i="12" s="1"/>
  <c r="AD115" i="15"/>
  <c r="Y140" i="12" s="1"/>
  <c r="AE115" i="15"/>
  <c r="Z140" i="12" s="1"/>
  <c r="AF115" i="15"/>
  <c r="AA140" i="12" s="1"/>
  <c r="AG115" i="15"/>
  <c r="AB140" i="12" s="1"/>
  <c r="V112" i="15"/>
  <c r="Q137" i="12" s="1"/>
  <c r="V113" i="15"/>
  <c r="Q138" i="12" s="1"/>
  <c r="V114" i="15"/>
  <c r="Q139" i="12" s="1"/>
  <c r="V115" i="15"/>
  <c r="Q140" i="12" s="1"/>
  <c r="V111" i="15"/>
  <c r="Q136" i="12" s="1"/>
  <c r="U112" i="15"/>
  <c r="P137" i="12" s="1"/>
  <c r="U113" i="15"/>
  <c r="P138" i="12" s="1"/>
  <c r="U114" i="15"/>
  <c r="P139" i="12" s="1"/>
  <c r="U115" i="15"/>
  <c r="P140" i="12" s="1"/>
  <c r="U111" i="15"/>
  <c r="P136" i="12" s="1"/>
  <c r="W109" i="15"/>
  <c r="R134" i="12" s="1"/>
  <c r="X109" i="15"/>
  <c r="S134" i="12" s="1"/>
  <c r="Y109" i="15"/>
  <c r="T134" i="12" s="1"/>
  <c r="Z109" i="15"/>
  <c r="U134" i="12" s="1"/>
  <c r="AA109" i="15"/>
  <c r="V134" i="12" s="1"/>
  <c r="AB109" i="15"/>
  <c r="W134" i="12" s="1"/>
  <c r="AC109" i="15"/>
  <c r="X134" i="12" s="1"/>
  <c r="AD109" i="15"/>
  <c r="Y134" i="12" s="1"/>
  <c r="AE109" i="15"/>
  <c r="Z134" i="12" s="1"/>
  <c r="AF109" i="15"/>
  <c r="AA134" i="12" s="1"/>
  <c r="AG109" i="15"/>
  <c r="AB134" i="12" s="1"/>
  <c r="W110" i="15"/>
  <c r="R135" i="12" s="1"/>
  <c r="X110" i="15"/>
  <c r="S135" i="12" s="1"/>
  <c r="Y110" i="15"/>
  <c r="T135" i="12" s="1"/>
  <c r="Z110" i="15"/>
  <c r="U135" i="12" s="1"/>
  <c r="AA110" i="15"/>
  <c r="V135" i="12" s="1"/>
  <c r="AB110" i="15"/>
  <c r="W135" i="12" s="1"/>
  <c r="AC110" i="15"/>
  <c r="X135" i="12" s="1"/>
  <c r="AD110" i="15"/>
  <c r="Y135" i="12" s="1"/>
  <c r="AE110" i="15"/>
  <c r="Z135" i="12" s="1"/>
  <c r="AF110" i="15"/>
  <c r="AA135" i="12" s="1"/>
  <c r="AG110" i="15"/>
  <c r="AB135" i="12" s="1"/>
  <c r="V110" i="15"/>
  <c r="Q135" i="12" s="1"/>
  <c r="V109" i="15"/>
  <c r="Q134" i="12" s="1"/>
  <c r="U110" i="15"/>
  <c r="P135" i="12" s="1"/>
  <c r="U109" i="15"/>
  <c r="P134" i="12" s="1"/>
  <c r="W107" i="15"/>
  <c r="R132" i="12" s="1"/>
  <c r="X107" i="15"/>
  <c r="S132" i="12" s="1"/>
  <c r="Y107" i="15"/>
  <c r="T132" i="12" s="1"/>
  <c r="Z107" i="15"/>
  <c r="U132" i="12" s="1"/>
  <c r="AA107" i="15"/>
  <c r="V132" i="12" s="1"/>
  <c r="AB107" i="15"/>
  <c r="W132" i="12" s="1"/>
  <c r="AC107" i="15"/>
  <c r="X132" i="12" s="1"/>
  <c r="AD107" i="15"/>
  <c r="Y132" i="12" s="1"/>
  <c r="AE107" i="15"/>
  <c r="Z132" i="12" s="1"/>
  <c r="AF107" i="15"/>
  <c r="AA132" i="12" s="1"/>
  <c r="AG107" i="15"/>
  <c r="AB132" i="12" s="1"/>
  <c r="W108" i="15"/>
  <c r="R133" i="12" s="1"/>
  <c r="X108" i="15"/>
  <c r="S133" i="12" s="1"/>
  <c r="Y108" i="15"/>
  <c r="T133" i="12" s="1"/>
  <c r="Z108" i="15"/>
  <c r="U133" i="12" s="1"/>
  <c r="AA108" i="15"/>
  <c r="V133" i="12" s="1"/>
  <c r="AB108" i="15"/>
  <c r="W133" i="12" s="1"/>
  <c r="AC108" i="15"/>
  <c r="X133" i="12" s="1"/>
  <c r="AD108" i="15"/>
  <c r="Y133" i="12" s="1"/>
  <c r="AE108" i="15"/>
  <c r="Z133" i="12" s="1"/>
  <c r="AF108" i="15"/>
  <c r="AA133" i="12" s="1"/>
  <c r="AG108" i="15"/>
  <c r="AB133" i="12" s="1"/>
  <c r="V108" i="15"/>
  <c r="Q133" i="12" s="1"/>
  <c r="V107" i="15"/>
  <c r="Q132" i="12" s="1"/>
  <c r="U108" i="15"/>
  <c r="P133" i="12" s="1"/>
  <c r="U107" i="15"/>
  <c r="P132" i="12" s="1"/>
  <c r="W103" i="15"/>
  <c r="R128" i="12" s="1"/>
  <c r="X103" i="15"/>
  <c r="S128" i="12" s="1"/>
  <c r="Y103" i="15"/>
  <c r="T128" i="12" s="1"/>
  <c r="Z103" i="15"/>
  <c r="U128" i="12" s="1"/>
  <c r="AA103" i="15"/>
  <c r="V128" i="12" s="1"/>
  <c r="AB103" i="15"/>
  <c r="W128" i="12" s="1"/>
  <c r="AC103" i="15"/>
  <c r="X128" i="12" s="1"/>
  <c r="AD103" i="15"/>
  <c r="Y128" i="12" s="1"/>
  <c r="AE103" i="15"/>
  <c r="Z128" i="12" s="1"/>
  <c r="AF103" i="15"/>
  <c r="AA128" i="12" s="1"/>
  <c r="AG103" i="15"/>
  <c r="AB128" i="12" s="1"/>
  <c r="W104" i="15"/>
  <c r="R129" i="12" s="1"/>
  <c r="X104" i="15"/>
  <c r="S129" i="12" s="1"/>
  <c r="Y104" i="15"/>
  <c r="T129" i="12" s="1"/>
  <c r="Z104" i="15"/>
  <c r="U129" i="12" s="1"/>
  <c r="AA104" i="15"/>
  <c r="V129" i="12" s="1"/>
  <c r="AB104" i="15"/>
  <c r="W129" i="12" s="1"/>
  <c r="AC104" i="15"/>
  <c r="X129" i="12" s="1"/>
  <c r="AD104" i="15"/>
  <c r="Y129" i="12" s="1"/>
  <c r="AE104" i="15"/>
  <c r="Z129" i="12" s="1"/>
  <c r="AF104" i="15"/>
  <c r="AA129" i="12" s="1"/>
  <c r="AG104" i="15"/>
  <c r="AB129" i="12" s="1"/>
  <c r="W105" i="15"/>
  <c r="R130" i="12" s="1"/>
  <c r="X105" i="15"/>
  <c r="S130" i="12" s="1"/>
  <c r="Y105" i="15"/>
  <c r="T130" i="12" s="1"/>
  <c r="Z105" i="15"/>
  <c r="U130" i="12" s="1"/>
  <c r="AA105" i="15"/>
  <c r="V130" i="12" s="1"/>
  <c r="AB105" i="15"/>
  <c r="W130" i="12" s="1"/>
  <c r="AC105" i="15"/>
  <c r="X130" i="12" s="1"/>
  <c r="AD105" i="15"/>
  <c r="Y130" i="12" s="1"/>
  <c r="AE105" i="15"/>
  <c r="Z130" i="12" s="1"/>
  <c r="AF105" i="15"/>
  <c r="AA130" i="12" s="1"/>
  <c r="AG105" i="15"/>
  <c r="AB130" i="12" s="1"/>
  <c r="W106" i="15"/>
  <c r="R131" i="12" s="1"/>
  <c r="X106" i="15"/>
  <c r="S131" i="12" s="1"/>
  <c r="Y106" i="15"/>
  <c r="T131" i="12" s="1"/>
  <c r="Z106" i="15"/>
  <c r="U131" i="12" s="1"/>
  <c r="AA106" i="15"/>
  <c r="V131" i="12" s="1"/>
  <c r="AB106" i="15"/>
  <c r="W131" i="12" s="1"/>
  <c r="AC106" i="15"/>
  <c r="X131" i="12" s="1"/>
  <c r="AD106" i="15"/>
  <c r="Y131" i="12" s="1"/>
  <c r="AE106" i="15"/>
  <c r="Z131" i="12" s="1"/>
  <c r="AF106" i="15"/>
  <c r="AA131" i="12" s="1"/>
  <c r="AG106" i="15"/>
  <c r="AB131" i="12" s="1"/>
  <c r="V104" i="15"/>
  <c r="Q129" i="12" s="1"/>
  <c r="V105" i="15"/>
  <c r="Q130" i="12" s="1"/>
  <c r="V106" i="15"/>
  <c r="Q131" i="12" s="1"/>
  <c r="V103" i="15"/>
  <c r="Q128" i="12" s="1"/>
  <c r="U104" i="15"/>
  <c r="P129" i="12" s="1"/>
  <c r="U105" i="15"/>
  <c r="P130" i="12" s="1"/>
  <c r="U106" i="15"/>
  <c r="P131" i="12" s="1"/>
  <c r="U103" i="15"/>
  <c r="P128" i="12" s="1"/>
  <c r="W102" i="15"/>
  <c r="R127" i="12" s="1"/>
  <c r="X102" i="15"/>
  <c r="S127" i="12" s="1"/>
  <c r="Y102" i="15"/>
  <c r="T127" i="12" s="1"/>
  <c r="Z102" i="15"/>
  <c r="U127" i="12" s="1"/>
  <c r="AA102" i="15"/>
  <c r="V127" i="12" s="1"/>
  <c r="AB102" i="15"/>
  <c r="W127" i="12" s="1"/>
  <c r="AC102" i="15"/>
  <c r="X127" i="12" s="1"/>
  <c r="AD102" i="15"/>
  <c r="Y127" i="12" s="1"/>
  <c r="AE102" i="15"/>
  <c r="Z127" i="12" s="1"/>
  <c r="AF102" i="15"/>
  <c r="AA127" i="12" s="1"/>
  <c r="AG102" i="15"/>
  <c r="AB127" i="12" s="1"/>
  <c r="V102" i="15"/>
  <c r="Q127" i="12" s="1"/>
  <c r="U102" i="15"/>
  <c r="P127" i="12" s="1"/>
  <c r="U101" i="15"/>
  <c r="P126" i="12" s="1"/>
  <c r="W101" i="15"/>
  <c r="R126" i="12" s="1"/>
  <c r="X101" i="15"/>
  <c r="S126" i="12" s="1"/>
  <c r="Y101" i="15"/>
  <c r="T126" i="12" s="1"/>
  <c r="Z101" i="15"/>
  <c r="U126" i="12" s="1"/>
  <c r="AA101" i="15"/>
  <c r="V126" i="12" s="1"/>
  <c r="AB101" i="15"/>
  <c r="W126" i="12" s="1"/>
  <c r="AC101" i="15"/>
  <c r="X126" i="12" s="1"/>
  <c r="AD101" i="15"/>
  <c r="Y126" i="12" s="1"/>
  <c r="AE101" i="15"/>
  <c r="Z126" i="12" s="1"/>
  <c r="AF101" i="15"/>
  <c r="AG101" i="15"/>
  <c r="AB126" i="12" s="1"/>
  <c r="V101" i="15"/>
  <c r="Q126" i="12" s="1"/>
  <c r="W98" i="15"/>
  <c r="R123" i="12" s="1"/>
  <c r="X98" i="15"/>
  <c r="S123" i="12" s="1"/>
  <c r="Y98" i="15"/>
  <c r="T123" i="12" s="1"/>
  <c r="Z98" i="15"/>
  <c r="U123" i="12" s="1"/>
  <c r="AA98" i="15"/>
  <c r="V123" i="12" s="1"/>
  <c r="AB98" i="15"/>
  <c r="W123" i="12" s="1"/>
  <c r="AC98" i="15"/>
  <c r="X123" i="12" s="1"/>
  <c r="AD98" i="15"/>
  <c r="Y123" i="12" s="1"/>
  <c r="AE98" i="15"/>
  <c r="Z123" i="12" s="1"/>
  <c r="AF98" i="15"/>
  <c r="AG98" i="15"/>
  <c r="AB123" i="12" s="1"/>
  <c r="W99" i="15"/>
  <c r="R124" i="12" s="1"/>
  <c r="X99" i="15"/>
  <c r="S124" i="12" s="1"/>
  <c r="Y99" i="15"/>
  <c r="T124" i="12" s="1"/>
  <c r="Z99" i="15"/>
  <c r="U124" i="12" s="1"/>
  <c r="AA99" i="15"/>
  <c r="V124" i="12" s="1"/>
  <c r="AB99" i="15"/>
  <c r="W124" i="12" s="1"/>
  <c r="AC99" i="15"/>
  <c r="X124" i="12" s="1"/>
  <c r="AD99" i="15"/>
  <c r="Y124" i="12" s="1"/>
  <c r="AE99" i="15"/>
  <c r="Z124" i="12" s="1"/>
  <c r="AF99" i="15"/>
  <c r="AG99" i="15"/>
  <c r="AB124" i="12" s="1"/>
  <c r="W100" i="15"/>
  <c r="R125" i="12" s="1"/>
  <c r="X100" i="15"/>
  <c r="S125" i="12" s="1"/>
  <c r="Y100" i="15"/>
  <c r="T125" i="12" s="1"/>
  <c r="Z100" i="15"/>
  <c r="U125" i="12" s="1"/>
  <c r="AA100" i="15"/>
  <c r="V125" i="12" s="1"/>
  <c r="AB100" i="15"/>
  <c r="W125" i="12" s="1"/>
  <c r="AC100" i="15"/>
  <c r="X125" i="12" s="1"/>
  <c r="AD100" i="15"/>
  <c r="Y125" i="12" s="1"/>
  <c r="AE100" i="15"/>
  <c r="Z125" i="12" s="1"/>
  <c r="AF100" i="15"/>
  <c r="AG100" i="15"/>
  <c r="AB125" i="12" s="1"/>
  <c r="V99" i="15"/>
  <c r="Q124" i="12" s="1"/>
  <c r="V100" i="15"/>
  <c r="Q125" i="12" s="1"/>
  <c r="V98" i="15"/>
  <c r="Q123" i="12" s="1"/>
  <c r="U99" i="15"/>
  <c r="P124" i="12" s="1"/>
  <c r="U100" i="15"/>
  <c r="P125" i="12" s="1"/>
  <c r="U98" i="15"/>
  <c r="P123" i="12" s="1"/>
  <c r="W95" i="15"/>
  <c r="R120" i="12" s="1"/>
  <c r="X95" i="15"/>
  <c r="S120" i="12" s="1"/>
  <c r="Y95" i="15"/>
  <c r="T120" i="12" s="1"/>
  <c r="Z95" i="15"/>
  <c r="U120" i="12" s="1"/>
  <c r="AA95" i="15"/>
  <c r="V120" i="12" s="1"/>
  <c r="AB95" i="15"/>
  <c r="W120" i="12" s="1"/>
  <c r="AC95" i="15"/>
  <c r="X120" i="12" s="1"/>
  <c r="AD95" i="15"/>
  <c r="Y120" i="12" s="1"/>
  <c r="AE95" i="15"/>
  <c r="Z120" i="12" s="1"/>
  <c r="AF95" i="15"/>
  <c r="AA120" i="12" s="1"/>
  <c r="AG95" i="15"/>
  <c r="AB120" i="12" s="1"/>
  <c r="W96" i="15"/>
  <c r="R121" i="12" s="1"/>
  <c r="X96" i="15"/>
  <c r="S121" i="12" s="1"/>
  <c r="Y96" i="15"/>
  <c r="T121" i="12" s="1"/>
  <c r="Z96" i="15"/>
  <c r="U121" i="12" s="1"/>
  <c r="AA96" i="15"/>
  <c r="V121" i="12" s="1"/>
  <c r="AB96" i="15"/>
  <c r="W121" i="12" s="1"/>
  <c r="AC96" i="15"/>
  <c r="X121" i="12" s="1"/>
  <c r="AD96" i="15"/>
  <c r="Y121" i="12" s="1"/>
  <c r="AE96" i="15"/>
  <c r="Z121" i="12" s="1"/>
  <c r="AF96" i="15"/>
  <c r="AA121" i="12" s="1"/>
  <c r="AG96" i="15"/>
  <c r="AB121" i="12" s="1"/>
  <c r="W97" i="15"/>
  <c r="R122" i="12" s="1"/>
  <c r="X97" i="15"/>
  <c r="S122" i="12" s="1"/>
  <c r="Y97" i="15"/>
  <c r="T122" i="12" s="1"/>
  <c r="Z97" i="15"/>
  <c r="U122" i="12" s="1"/>
  <c r="AA97" i="15"/>
  <c r="V122" i="12" s="1"/>
  <c r="AB97" i="15"/>
  <c r="W122" i="12" s="1"/>
  <c r="AC97" i="15"/>
  <c r="X122" i="12" s="1"/>
  <c r="AD97" i="15"/>
  <c r="Y122" i="12" s="1"/>
  <c r="AE97" i="15"/>
  <c r="Z122" i="12" s="1"/>
  <c r="AF97" i="15"/>
  <c r="AA122" i="12" s="1"/>
  <c r="AG97" i="15"/>
  <c r="AB122" i="12" s="1"/>
  <c r="V96" i="15"/>
  <c r="Q121" i="12" s="1"/>
  <c r="V97" i="15"/>
  <c r="Q122" i="12" s="1"/>
  <c r="V95" i="15"/>
  <c r="Q120" i="12" s="1"/>
  <c r="U96" i="15"/>
  <c r="P121" i="12" s="1"/>
  <c r="U97" i="15"/>
  <c r="P122" i="12" s="1"/>
  <c r="U95" i="15"/>
  <c r="P120" i="12" s="1"/>
  <c r="W93" i="15"/>
  <c r="R118" i="12" s="1"/>
  <c r="X93" i="15"/>
  <c r="S118" i="12" s="1"/>
  <c r="Y93" i="15"/>
  <c r="T118" i="12" s="1"/>
  <c r="Z93" i="15"/>
  <c r="U118" i="12" s="1"/>
  <c r="AA93" i="15"/>
  <c r="V118" i="12" s="1"/>
  <c r="AB93" i="15"/>
  <c r="W118" i="12" s="1"/>
  <c r="AC93" i="15"/>
  <c r="X118" i="12" s="1"/>
  <c r="AD93" i="15"/>
  <c r="Y118" i="12" s="1"/>
  <c r="AE93" i="15"/>
  <c r="Z118" i="12" s="1"/>
  <c r="AF93" i="15"/>
  <c r="AA118" i="12" s="1"/>
  <c r="AG93" i="15"/>
  <c r="AB118" i="12" s="1"/>
  <c r="W94" i="15"/>
  <c r="R119" i="12" s="1"/>
  <c r="X94" i="15"/>
  <c r="S119" i="12" s="1"/>
  <c r="Y94" i="15"/>
  <c r="T119" i="12" s="1"/>
  <c r="Z94" i="15"/>
  <c r="U119" i="12" s="1"/>
  <c r="AA94" i="15"/>
  <c r="V119" i="12" s="1"/>
  <c r="AB94" i="15"/>
  <c r="W119" i="12" s="1"/>
  <c r="AC94" i="15"/>
  <c r="X119" i="12" s="1"/>
  <c r="AD94" i="15"/>
  <c r="Y119" i="12" s="1"/>
  <c r="AE94" i="15"/>
  <c r="Z119" i="12" s="1"/>
  <c r="AF94" i="15"/>
  <c r="AA119" i="12" s="1"/>
  <c r="AG94" i="15"/>
  <c r="AB119" i="12" s="1"/>
  <c r="V94" i="15"/>
  <c r="Q119" i="12" s="1"/>
  <c r="V93" i="15"/>
  <c r="Q118" i="12" s="1"/>
  <c r="U94" i="15"/>
  <c r="P119" i="12" s="1"/>
  <c r="U93" i="15"/>
  <c r="P118" i="12" s="1"/>
  <c r="W90" i="15"/>
  <c r="R115" i="12" s="1"/>
  <c r="X90" i="15"/>
  <c r="S115" i="12" s="1"/>
  <c r="Y90" i="15"/>
  <c r="T115" i="12" s="1"/>
  <c r="Z90" i="15"/>
  <c r="U115" i="12" s="1"/>
  <c r="AA90" i="15"/>
  <c r="V115" i="12" s="1"/>
  <c r="AB90" i="15"/>
  <c r="W115" i="12" s="1"/>
  <c r="AC90" i="15"/>
  <c r="X115" i="12" s="1"/>
  <c r="AD90" i="15"/>
  <c r="Y115" i="12" s="1"/>
  <c r="AE90" i="15"/>
  <c r="Z115" i="12" s="1"/>
  <c r="AF90" i="15"/>
  <c r="AA115" i="12" s="1"/>
  <c r="AG90" i="15"/>
  <c r="AB115" i="12" s="1"/>
  <c r="W91" i="15"/>
  <c r="R116" i="12" s="1"/>
  <c r="X91" i="15"/>
  <c r="S116" i="12" s="1"/>
  <c r="Y91" i="15"/>
  <c r="T116" i="12" s="1"/>
  <c r="Z91" i="15"/>
  <c r="U116" i="12" s="1"/>
  <c r="AA91" i="15"/>
  <c r="V116" i="12" s="1"/>
  <c r="AB91" i="15"/>
  <c r="W116" i="12" s="1"/>
  <c r="AC91" i="15"/>
  <c r="X116" i="12" s="1"/>
  <c r="AD91" i="15"/>
  <c r="Y116" i="12" s="1"/>
  <c r="AE91" i="15"/>
  <c r="Z116" i="12" s="1"/>
  <c r="AF91" i="15"/>
  <c r="AA116" i="12" s="1"/>
  <c r="AG91" i="15"/>
  <c r="AB116" i="12" s="1"/>
  <c r="W92" i="15"/>
  <c r="R117" i="12" s="1"/>
  <c r="X92" i="15"/>
  <c r="S117" i="12" s="1"/>
  <c r="Y92" i="15"/>
  <c r="T117" i="12" s="1"/>
  <c r="Z92" i="15"/>
  <c r="U117" i="12" s="1"/>
  <c r="AA92" i="15"/>
  <c r="V117" i="12" s="1"/>
  <c r="AB92" i="15"/>
  <c r="W117" i="12" s="1"/>
  <c r="AC92" i="15"/>
  <c r="X117" i="12" s="1"/>
  <c r="AD92" i="15"/>
  <c r="Y117" i="12" s="1"/>
  <c r="AE92" i="15"/>
  <c r="Z117" i="12" s="1"/>
  <c r="AF92" i="15"/>
  <c r="AA117" i="12" s="1"/>
  <c r="AG92" i="15"/>
  <c r="AB117" i="12" s="1"/>
  <c r="V91" i="15"/>
  <c r="Q116" i="12" s="1"/>
  <c r="V92" i="15"/>
  <c r="Q117" i="12" s="1"/>
  <c r="V90" i="15"/>
  <c r="Q115" i="12" s="1"/>
  <c r="U91" i="15"/>
  <c r="U92" i="15"/>
  <c r="P117" i="12" s="1"/>
  <c r="U90" i="15"/>
  <c r="P115" i="12" s="1"/>
  <c r="W87" i="15"/>
  <c r="R112" i="12" s="1"/>
  <c r="X87" i="15"/>
  <c r="S112" i="12" s="1"/>
  <c r="Y87" i="15"/>
  <c r="T112" i="12" s="1"/>
  <c r="Z87" i="15"/>
  <c r="U112" i="12" s="1"/>
  <c r="AA87" i="15"/>
  <c r="V112" i="12" s="1"/>
  <c r="AB87" i="15"/>
  <c r="W112" i="12" s="1"/>
  <c r="AC87" i="15"/>
  <c r="X112" i="12" s="1"/>
  <c r="AD87" i="15"/>
  <c r="Y112" i="12" s="1"/>
  <c r="AE87" i="15"/>
  <c r="Z112" i="12" s="1"/>
  <c r="AF87" i="15"/>
  <c r="AA112" i="12" s="1"/>
  <c r="AG87" i="15"/>
  <c r="AB112" i="12" s="1"/>
  <c r="W88" i="15"/>
  <c r="R113" i="12" s="1"/>
  <c r="X88" i="15"/>
  <c r="S113" i="12" s="1"/>
  <c r="Y88" i="15"/>
  <c r="T113" i="12" s="1"/>
  <c r="Z88" i="15"/>
  <c r="U113" i="12" s="1"/>
  <c r="AA88" i="15"/>
  <c r="V113" i="12" s="1"/>
  <c r="AB88" i="15"/>
  <c r="W113" i="12" s="1"/>
  <c r="AC88" i="15"/>
  <c r="X113" i="12" s="1"/>
  <c r="AD88" i="15"/>
  <c r="Y113" i="12" s="1"/>
  <c r="AE88" i="15"/>
  <c r="Z113" i="12" s="1"/>
  <c r="AF88" i="15"/>
  <c r="AA113" i="12" s="1"/>
  <c r="AG88" i="15"/>
  <c r="AB113" i="12" s="1"/>
  <c r="W89" i="15"/>
  <c r="R114" i="12" s="1"/>
  <c r="X89" i="15"/>
  <c r="S114" i="12" s="1"/>
  <c r="Y89" i="15"/>
  <c r="T114" i="12" s="1"/>
  <c r="Z89" i="15"/>
  <c r="U114" i="12" s="1"/>
  <c r="AA89" i="15"/>
  <c r="V114" i="12" s="1"/>
  <c r="AB89" i="15"/>
  <c r="W114" i="12" s="1"/>
  <c r="AC89" i="15"/>
  <c r="X114" i="12" s="1"/>
  <c r="AD89" i="15"/>
  <c r="Y114" i="12" s="1"/>
  <c r="AE89" i="15"/>
  <c r="Z114" i="12" s="1"/>
  <c r="AF89" i="15"/>
  <c r="AA114" i="12" s="1"/>
  <c r="AG89" i="15"/>
  <c r="AB114" i="12" s="1"/>
  <c r="V88" i="15"/>
  <c r="Q113" i="12" s="1"/>
  <c r="V89" i="15"/>
  <c r="Q114" i="12" s="1"/>
  <c r="V87" i="15"/>
  <c r="Q112" i="12" s="1"/>
  <c r="U88" i="15"/>
  <c r="P113" i="12" s="1"/>
  <c r="U89" i="15"/>
  <c r="P114" i="12" s="1"/>
  <c r="U87" i="15"/>
  <c r="P112" i="12" s="1"/>
  <c r="W83" i="15"/>
  <c r="R108" i="12" s="1"/>
  <c r="X83" i="15"/>
  <c r="S108" i="12" s="1"/>
  <c r="Y83" i="15"/>
  <c r="T108" i="12" s="1"/>
  <c r="Z83" i="15"/>
  <c r="U108" i="12" s="1"/>
  <c r="AA83" i="15"/>
  <c r="V108" i="12" s="1"/>
  <c r="AB83" i="15"/>
  <c r="W108" i="12" s="1"/>
  <c r="AC83" i="15"/>
  <c r="X108" i="12" s="1"/>
  <c r="AD83" i="15"/>
  <c r="Y108" i="12" s="1"/>
  <c r="AE83" i="15"/>
  <c r="Z108" i="12" s="1"/>
  <c r="AF83" i="15"/>
  <c r="AA108" i="12" s="1"/>
  <c r="AG83" i="15"/>
  <c r="AB108" i="12" s="1"/>
  <c r="W84" i="15"/>
  <c r="R109" i="12" s="1"/>
  <c r="X84" i="15"/>
  <c r="S109" i="12" s="1"/>
  <c r="Y84" i="15"/>
  <c r="T109" i="12" s="1"/>
  <c r="Z84" i="15"/>
  <c r="U109" i="12" s="1"/>
  <c r="AA84" i="15"/>
  <c r="V109" i="12" s="1"/>
  <c r="AB84" i="15"/>
  <c r="W109" i="12" s="1"/>
  <c r="AC84" i="15"/>
  <c r="X109" i="12" s="1"/>
  <c r="AD84" i="15"/>
  <c r="Y109" i="12" s="1"/>
  <c r="AE84" i="15"/>
  <c r="Z109" i="12" s="1"/>
  <c r="AF84" i="15"/>
  <c r="AA109" i="12" s="1"/>
  <c r="AG84" i="15"/>
  <c r="AB109" i="12" s="1"/>
  <c r="W85" i="15"/>
  <c r="R110" i="12" s="1"/>
  <c r="X85" i="15"/>
  <c r="S110" i="12" s="1"/>
  <c r="Y85" i="15"/>
  <c r="T110" i="12" s="1"/>
  <c r="Z85" i="15"/>
  <c r="U110" i="12" s="1"/>
  <c r="AA85" i="15"/>
  <c r="V110" i="12" s="1"/>
  <c r="AB85" i="15"/>
  <c r="W110" i="12" s="1"/>
  <c r="AC85" i="15"/>
  <c r="X110" i="12" s="1"/>
  <c r="AD85" i="15"/>
  <c r="Y110" i="12" s="1"/>
  <c r="AE85" i="15"/>
  <c r="Z110" i="12" s="1"/>
  <c r="AF85" i="15"/>
  <c r="AA110" i="12" s="1"/>
  <c r="AG85" i="15"/>
  <c r="AB110" i="12" s="1"/>
  <c r="W86" i="15"/>
  <c r="R111" i="12" s="1"/>
  <c r="X86" i="15"/>
  <c r="S111" i="12" s="1"/>
  <c r="Y86" i="15"/>
  <c r="T111" i="12" s="1"/>
  <c r="Z86" i="15"/>
  <c r="U111" i="12" s="1"/>
  <c r="AA86" i="15"/>
  <c r="V111" i="12" s="1"/>
  <c r="AB86" i="15"/>
  <c r="W111" i="12" s="1"/>
  <c r="AC86" i="15"/>
  <c r="X111" i="12" s="1"/>
  <c r="AD86" i="15"/>
  <c r="Y111" i="12" s="1"/>
  <c r="AE86" i="15"/>
  <c r="Z111" i="12" s="1"/>
  <c r="AF86" i="15"/>
  <c r="AA111" i="12" s="1"/>
  <c r="AG86" i="15"/>
  <c r="AB111" i="12" s="1"/>
  <c r="V84" i="15"/>
  <c r="Q109" i="12" s="1"/>
  <c r="V85" i="15"/>
  <c r="Q110" i="12" s="1"/>
  <c r="V86" i="15"/>
  <c r="Q111" i="12" s="1"/>
  <c r="V83" i="15"/>
  <c r="Q108" i="12" s="1"/>
  <c r="U84" i="15"/>
  <c r="P109" i="12" s="1"/>
  <c r="U85" i="15"/>
  <c r="P110" i="12" s="1"/>
  <c r="U86" i="15"/>
  <c r="P111" i="12" s="1"/>
  <c r="U83" i="15"/>
  <c r="P108" i="12" s="1"/>
  <c r="W79" i="15"/>
  <c r="R104" i="12" s="1"/>
  <c r="X79" i="15"/>
  <c r="S104" i="12" s="1"/>
  <c r="Y79" i="15"/>
  <c r="T104" i="12" s="1"/>
  <c r="Z79" i="15"/>
  <c r="U104" i="12" s="1"/>
  <c r="AA79" i="15"/>
  <c r="V104" i="12" s="1"/>
  <c r="AB79" i="15"/>
  <c r="W104" i="12" s="1"/>
  <c r="AC79" i="15"/>
  <c r="X104" i="12" s="1"/>
  <c r="AD79" i="15"/>
  <c r="Y104" i="12" s="1"/>
  <c r="AE79" i="15"/>
  <c r="Z104" i="12" s="1"/>
  <c r="AF79" i="15"/>
  <c r="AA104" i="12" s="1"/>
  <c r="AG79" i="15"/>
  <c r="AB104" i="12" s="1"/>
  <c r="W80" i="15"/>
  <c r="R105" i="12" s="1"/>
  <c r="X80" i="15"/>
  <c r="S105" i="12" s="1"/>
  <c r="Y80" i="15"/>
  <c r="T105" i="12" s="1"/>
  <c r="Z80" i="15"/>
  <c r="U105" i="12" s="1"/>
  <c r="AA80" i="15"/>
  <c r="V105" i="12" s="1"/>
  <c r="AB80" i="15"/>
  <c r="W105" i="12" s="1"/>
  <c r="AC80" i="15"/>
  <c r="X105" i="12" s="1"/>
  <c r="AD80" i="15"/>
  <c r="Y105" i="12" s="1"/>
  <c r="AE80" i="15"/>
  <c r="Z105" i="12" s="1"/>
  <c r="AF80" i="15"/>
  <c r="AA105" i="12" s="1"/>
  <c r="AG80" i="15"/>
  <c r="AB105" i="12" s="1"/>
  <c r="W81" i="15"/>
  <c r="R106" i="12" s="1"/>
  <c r="X81" i="15"/>
  <c r="S106" i="12" s="1"/>
  <c r="Y81" i="15"/>
  <c r="T106" i="12" s="1"/>
  <c r="Z81" i="15"/>
  <c r="U106" i="12" s="1"/>
  <c r="AA81" i="15"/>
  <c r="V106" i="12" s="1"/>
  <c r="AB81" i="15"/>
  <c r="W106" i="12" s="1"/>
  <c r="AC81" i="15"/>
  <c r="X106" i="12" s="1"/>
  <c r="AD81" i="15"/>
  <c r="Y106" i="12" s="1"/>
  <c r="AE81" i="15"/>
  <c r="Z106" i="12" s="1"/>
  <c r="AF81" i="15"/>
  <c r="AA106" i="12" s="1"/>
  <c r="AG81" i="15"/>
  <c r="AB106" i="12" s="1"/>
  <c r="W82" i="15"/>
  <c r="R107" i="12" s="1"/>
  <c r="X82" i="15"/>
  <c r="S107" i="12" s="1"/>
  <c r="Y82" i="15"/>
  <c r="T107" i="12" s="1"/>
  <c r="Z82" i="15"/>
  <c r="U107" i="12" s="1"/>
  <c r="AA82" i="15"/>
  <c r="V107" i="12" s="1"/>
  <c r="AB82" i="15"/>
  <c r="W107" i="12" s="1"/>
  <c r="AC82" i="15"/>
  <c r="X107" i="12" s="1"/>
  <c r="AD82" i="15"/>
  <c r="Y107" i="12" s="1"/>
  <c r="AE82" i="15"/>
  <c r="Z107" i="12" s="1"/>
  <c r="AF82" i="15"/>
  <c r="AA107" i="12" s="1"/>
  <c r="AG82" i="15"/>
  <c r="AB107" i="12" s="1"/>
  <c r="V80" i="15"/>
  <c r="Q105" i="12" s="1"/>
  <c r="V81" i="15"/>
  <c r="Q106" i="12" s="1"/>
  <c r="V82" i="15"/>
  <c r="Q107" i="12" s="1"/>
  <c r="V79" i="15"/>
  <c r="Q104" i="12" s="1"/>
  <c r="U80" i="15"/>
  <c r="P105" i="12" s="1"/>
  <c r="U81" i="15"/>
  <c r="P106" i="12" s="1"/>
  <c r="U82" i="15"/>
  <c r="P107" i="12" s="1"/>
  <c r="U79" i="15"/>
  <c r="P104" i="12" s="1"/>
  <c r="W77" i="15"/>
  <c r="R102" i="12" s="1"/>
  <c r="X77" i="15"/>
  <c r="S102" i="12" s="1"/>
  <c r="Y77" i="15"/>
  <c r="T102" i="12" s="1"/>
  <c r="Z77" i="15"/>
  <c r="U102" i="12" s="1"/>
  <c r="AA77" i="15"/>
  <c r="V102" i="12" s="1"/>
  <c r="AB77" i="15"/>
  <c r="W102" i="12" s="1"/>
  <c r="AC77" i="15"/>
  <c r="X102" i="12" s="1"/>
  <c r="AD77" i="15"/>
  <c r="Y102" i="12" s="1"/>
  <c r="AE77" i="15"/>
  <c r="Z102" i="12" s="1"/>
  <c r="AF77" i="15"/>
  <c r="AA102" i="12" s="1"/>
  <c r="AG77" i="15"/>
  <c r="AB102" i="12" s="1"/>
  <c r="W78" i="15"/>
  <c r="R103" i="12" s="1"/>
  <c r="X78" i="15"/>
  <c r="S103" i="12" s="1"/>
  <c r="Y78" i="15"/>
  <c r="T103" i="12" s="1"/>
  <c r="Z78" i="15"/>
  <c r="U103" i="12" s="1"/>
  <c r="AA78" i="15"/>
  <c r="V103" i="12" s="1"/>
  <c r="AB78" i="15"/>
  <c r="W103" i="12" s="1"/>
  <c r="AC78" i="15"/>
  <c r="X103" i="12" s="1"/>
  <c r="AD78" i="15"/>
  <c r="Y103" i="12" s="1"/>
  <c r="AE78" i="15"/>
  <c r="Z103" i="12" s="1"/>
  <c r="AF78" i="15"/>
  <c r="AA103" i="12" s="1"/>
  <c r="AG78" i="15"/>
  <c r="AB103" i="12" s="1"/>
  <c r="V78" i="15"/>
  <c r="Q103" i="12" s="1"/>
  <c r="V77" i="15"/>
  <c r="Q102" i="12" s="1"/>
  <c r="U78" i="15"/>
  <c r="P103" i="12" s="1"/>
  <c r="U77" i="15"/>
  <c r="P102" i="12" s="1"/>
  <c r="W70" i="15"/>
  <c r="R95" i="12" s="1"/>
  <c r="X70" i="15"/>
  <c r="S95" i="12" s="1"/>
  <c r="Y70" i="15"/>
  <c r="T95" i="12" s="1"/>
  <c r="Z70" i="15"/>
  <c r="U95" i="12" s="1"/>
  <c r="AA70" i="15"/>
  <c r="V95" i="12" s="1"/>
  <c r="AB70" i="15"/>
  <c r="W95" i="12" s="1"/>
  <c r="AC70" i="15"/>
  <c r="X95" i="12" s="1"/>
  <c r="AD70" i="15"/>
  <c r="Y95" i="12" s="1"/>
  <c r="AE70" i="15"/>
  <c r="Z95" i="12" s="1"/>
  <c r="AF70" i="15"/>
  <c r="AA95" i="12" s="1"/>
  <c r="AG70" i="15"/>
  <c r="AB95" i="12" s="1"/>
  <c r="W71" i="15"/>
  <c r="R96" i="12" s="1"/>
  <c r="X71" i="15"/>
  <c r="S96" i="12" s="1"/>
  <c r="Y71" i="15"/>
  <c r="T96" i="12" s="1"/>
  <c r="Z71" i="15"/>
  <c r="U96" i="12" s="1"/>
  <c r="AA71" i="15"/>
  <c r="V96" i="12" s="1"/>
  <c r="AB71" i="15"/>
  <c r="W96" i="12" s="1"/>
  <c r="AC71" i="15"/>
  <c r="X96" i="12" s="1"/>
  <c r="AD71" i="15"/>
  <c r="Y96" i="12" s="1"/>
  <c r="AE71" i="15"/>
  <c r="Z96" i="12" s="1"/>
  <c r="AF71" i="15"/>
  <c r="AA96" i="12" s="1"/>
  <c r="AG71" i="15"/>
  <c r="AB96" i="12" s="1"/>
  <c r="W72" i="15"/>
  <c r="R97" i="12" s="1"/>
  <c r="X72" i="15"/>
  <c r="S97" i="12" s="1"/>
  <c r="Y72" i="15"/>
  <c r="T97" i="12" s="1"/>
  <c r="Z72" i="15"/>
  <c r="U97" i="12" s="1"/>
  <c r="AA72" i="15"/>
  <c r="V97" i="12" s="1"/>
  <c r="AB72" i="15"/>
  <c r="W97" i="12" s="1"/>
  <c r="AC72" i="15"/>
  <c r="X97" i="12" s="1"/>
  <c r="AD72" i="15"/>
  <c r="Y97" i="12" s="1"/>
  <c r="AE72" i="15"/>
  <c r="Z97" i="12" s="1"/>
  <c r="AF72" i="15"/>
  <c r="AA97" i="12" s="1"/>
  <c r="AG72" i="15"/>
  <c r="AB97" i="12" s="1"/>
  <c r="W73" i="15"/>
  <c r="R98" i="12" s="1"/>
  <c r="X73" i="15"/>
  <c r="S98" i="12" s="1"/>
  <c r="Y73" i="15"/>
  <c r="T98" i="12" s="1"/>
  <c r="Z73" i="15"/>
  <c r="U98" i="12" s="1"/>
  <c r="AA73" i="15"/>
  <c r="V98" i="12" s="1"/>
  <c r="AB73" i="15"/>
  <c r="W98" i="12" s="1"/>
  <c r="AC73" i="15"/>
  <c r="X98" i="12" s="1"/>
  <c r="AD73" i="15"/>
  <c r="Y98" i="12" s="1"/>
  <c r="AE73" i="15"/>
  <c r="Z98" i="12" s="1"/>
  <c r="AF73" i="15"/>
  <c r="AA98" i="12" s="1"/>
  <c r="AG73" i="15"/>
  <c r="AB98" i="12" s="1"/>
  <c r="W74" i="15"/>
  <c r="R99" i="12" s="1"/>
  <c r="X74" i="15"/>
  <c r="S99" i="12" s="1"/>
  <c r="Y74" i="15"/>
  <c r="T99" i="12" s="1"/>
  <c r="Z74" i="15"/>
  <c r="U99" i="12" s="1"/>
  <c r="AA74" i="15"/>
  <c r="V99" i="12" s="1"/>
  <c r="AB74" i="15"/>
  <c r="W99" i="12" s="1"/>
  <c r="AC74" i="15"/>
  <c r="X99" i="12" s="1"/>
  <c r="AD74" i="15"/>
  <c r="Y99" i="12" s="1"/>
  <c r="AE74" i="15"/>
  <c r="Z99" i="12" s="1"/>
  <c r="AF74" i="15"/>
  <c r="AA99" i="12" s="1"/>
  <c r="AG74" i="15"/>
  <c r="AB99" i="12" s="1"/>
  <c r="W75" i="15"/>
  <c r="R100" i="12" s="1"/>
  <c r="X75" i="15"/>
  <c r="S100" i="12" s="1"/>
  <c r="Y75" i="15"/>
  <c r="T100" i="12" s="1"/>
  <c r="Z75" i="15"/>
  <c r="U100" i="12" s="1"/>
  <c r="AA75" i="15"/>
  <c r="V100" i="12" s="1"/>
  <c r="AB75" i="15"/>
  <c r="W100" i="12" s="1"/>
  <c r="AC75" i="15"/>
  <c r="X100" i="12" s="1"/>
  <c r="AD75" i="15"/>
  <c r="Y100" i="12" s="1"/>
  <c r="AE75" i="15"/>
  <c r="Z100" i="12" s="1"/>
  <c r="AF75" i="15"/>
  <c r="AA100" i="12" s="1"/>
  <c r="AG75" i="15"/>
  <c r="AB100" i="12" s="1"/>
  <c r="W76" i="15"/>
  <c r="R101" i="12" s="1"/>
  <c r="X76" i="15"/>
  <c r="S101" i="12" s="1"/>
  <c r="Y76" i="15"/>
  <c r="T101" i="12" s="1"/>
  <c r="Z76" i="15"/>
  <c r="U101" i="12" s="1"/>
  <c r="AA76" i="15"/>
  <c r="V101" i="12" s="1"/>
  <c r="AB76" i="15"/>
  <c r="W101" i="12" s="1"/>
  <c r="AC76" i="15"/>
  <c r="X101" i="12" s="1"/>
  <c r="AD76" i="15"/>
  <c r="Y101" i="12" s="1"/>
  <c r="AE76" i="15"/>
  <c r="Z101" i="12" s="1"/>
  <c r="AF76" i="15"/>
  <c r="AA101" i="12" s="1"/>
  <c r="AG76" i="15"/>
  <c r="AB101" i="12" s="1"/>
  <c r="U71" i="15"/>
  <c r="P96" i="12" s="1"/>
  <c r="U72" i="15"/>
  <c r="P97" i="12" s="1"/>
  <c r="U73" i="15"/>
  <c r="P98" i="12" s="1"/>
  <c r="U74" i="15"/>
  <c r="P99" i="12" s="1"/>
  <c r="U75" i="15"/>
  <c r="P100" i="12" s="1"/>
  <c r="U76" i="15"/>
  <c r="P101" i="12" s="1"/>
  <c r="V71" i="15"/>
  <c r="Q96" i="12" s="1"/>
  <c r="V72" i="15"/>
  <c r="Q97" i="12" s="1"/>
  <c r="V73" i="15"/>
  <c r="Q98" i="12" s="1"/>
  <c r="V74" i="15"/>
  <c r="Q99" i="12" s="1"/>
  <c r="V75" i="15"/>
  <c r="Q100" i="12" s="1"/>
  <c r="V76" i="15"/>
  <c r="Q101" i="12" s="1"/>
  <c r="V70" i="15"/>
  <c r="Q95" i="12" s="1"/>
  <c r="U70" i="15"/>
  <c r="P95" i="12" s="1"/>
  <c r="W69" i="15"/>
  <c r="R94" i="12" s="1"/>
  <c r="X69" i="15"/>
  <c r="S94" i="12" s="1"/>
  <c r="Y69" i="15"/>
  <c r="T94" i="12" s="1"/>
  <c r="Z69" i="15"/>
  <c r="U94" i="12" s="1"/>
  <c r="AA69" i="15"/>
  <c r="V94" i="12" s="1"/>
  <c r="AB69" i="15"/>
  <c r="W94" i="12" s="1"/>
  <c r="AC69" i="15"/>
  <c r="X94" i="12" s="1"/>
  <c r="AD69" i="15"/>
  <c r="Y94" i="12" s="1"/>
  <c r="AE69" i="15"/>
  <c r="Z94" i="12" s="1"/>
  <c r="AF69" i="15"/>
  <c r="AA94" i="12" s="1"/>
  <c r="AG69" i="15"/>
  <c r="AB94" i="12" s="1"/>
  <c r="V69" i="15"/>
  <c r="Q94" i="12" s="1"/>
  <c r="U69" i="15"/>
  <c r="P94" i="12" s="1"/>
  <c r="W63" i="15"/>
  <c r="R88" i="12" s="1"/>
  <c r="X63" i="15"/>
  <c r="S88" i="12" s="1"/>
  <c r="Y63" i="15"/>
  <c r="T88" i="12" s="1"/>
  <c r="Z63" i="15"/>
  <c r="U88" i="12" s="1"/>
  <c r="AA63" i="15"/>
  <c r="V88" i="12" s="1"/>
  <c r="AB63" i="15"/>
  <c r="W88" i="12" s="1"/>
  <c r="AC63" i="15"/>
  <c r="X88" i="12" s="1"/>
  <c r="AD63" i="15"/>
  <c r="Y88" i="12" s="1"/>
  <c r="AE63" i="15"/>
  <c r="Z88" i="12" s="1"/>
  <c r="AF63" i="15"/>
  <c r="AA88" i="12" s="1"/>
  <c r="AG63" i="15"/>
  <c r="AB88" i="12" s="1"/>
  <c r="W64" i="15"/>
  <c r="R89" i="12" s="1"/>
  <c r="X64" i="15"/>
  <c r="S89" i="12" s="1"/>
  <c r="Y64" i="15"/>
  <c r="T89" i="12" s="1"/>
  <c r="Z64" i="15"/>
  <c r="U89" i="12" s="1"/>
  <c r="AA64" i="15"/>
  <c r="V89" i="12" s="1"/>
  <c r="AB64" i="15"/>
  <c r="W89" i="12" s="1"/>
  <c r="AC64" i="15"/>
  <c r="X89" i="12" s="1"/>
  <c r="AD64" i="15"/>
  <c r="Y89" i="12" s="1"/>
  <c r="AE64" i="15"/>
  <c r="Z89" i="12" s="1"/>
  <c r="AF64" i="15"/>
  <c r="AA89" i="12" s="1"/>
  <c r="AG64" i="15"/>
  <c r="AB89" i="12" s="1"/>
  <c r="W65" i="15"/>
  <c r="R90" i="12" s="1"/>
  <c r="X65" i="15"/>
  <c r="S90" i="12" s="1"/>
  <c r="Y65" i="15"/>
  <c r="T90" i="12" s="1"/>
  <c r="Z65" i="15"/>
  <c r="U90" i="12" s="1"/>
  <c r="AA65" i="15"/>
  <c r="V90" i="12" s="1"/>
  <c r="AB65" i="15"/>
  <c r="W90" i="12" s="1"/>
  <c r="AC65" i="15"/>
  <c r="X90" i="12" s="1"/>
  <c r="AD65" i="15"/>
  <c r="Y90" i="12" s="1"/>
  <c r="AE65" i="15"/>
  <c r="Z90" i="12" s="1"/>
  <c r="AF65" i="15"/>
  <c r="AA90" i="12" s="1"/>
  <c r="AG65" i="15"/>
  <c r="AB90" i="12" s="1"/>
  <c r="W66" i="15"/>
  <c r="R91" i="12" s="1"/>
  <c r="X66" i="15"/>
  <c r="S91" i="12" s="1"/>
  <c r="Y66" i="15"/>
  <c r="T91" i="12" s="1"/>
  <c r="Z66" i="15"/>
  <c r="U91" i="12" s="1"/>
  <c r="AA66" i="15"/>
  <c r="V91" i="12" s="1"/>
  <c r="AB66" i="15"/>
  <c r="W91" i="12" s="1"/>
  <c r="AC66" i="15"/>
  <c r="X91" i="12" s="1"/>
  <c r="AD66" i="15"/>
  <c r="Y91" i="12" s="1"/>
  <c r="AE66" i="15"/>
  <c r="Z91" i="12" s="1"/>
  <c r="AF66" i="15"/>
  <c r="AA91" i="12" s="1"/>
  <c r="AG66" i="15"/>
  <c r="AB91" i="12" s="1"/>
  <c r="W67" i="15"/>
  <c r="R92" i="12" s="1"/>
  <c r="X67" i="15"/>
  <c r="S92" i="12" s="1"/>
  <c r="Y67" i="15"/>
  <c r="T92" i="12" s="1"/>
  <c r="Z67" i="15"/>
  <c r="U92" i="12" s="1"/>
  <c r="AA67" i="15"/>
  <c r="V92" i="12" s="1"/>
  <c r="AB67" i="15"/>
  <c r="W92" i="12" s="1"/>
  <c r="AC67" i="15"/>
  <c r="X92" i="12" s="1"/>
  <c r="AD67" i="15"/>
  <c r="Y92" i="12" s="1"/>
  <c r="AE67" i="15"/>
  <c r="Z92" i="12" s="1"/>
  <c r="AF67" i="15"/>
  <c r="AA92" i="12" s="1"/>
  <c r="AG67" i="15"/>
  <c r="AB92" i="12" s="1"/>
  <c r="W68" i="15"/>
  <c r="R93" i="12" s="1"/>
  <c r="X68" i="15"/>
  <c r="S93" i="12" s="1"/>
  <c r="Y68" i="15"/>
  <c r="T93" i="12" s="1"/>
  <c r="Z68" i="15"/>
  <c r="U93" i="12" s="1"/>
  <c r="AA68" i="15"/>
  <c r="V93" i="12" s="1"/>
  <c r="AB68" i="15"/>
  <c r="W93" i="12" s="1"/>
  <c r="AC68" i="15"/>
  <c r="X93" i="12" s="1"/>
  <c r="AD68" i="15"/>
  <c r="Y93" i="12" s="1"/>
  <c r="AE68" i="15"/>
  <c r="Z93" i="12" s="1"/>
  <c r="AF68" i="15"/>
  <c r="AA93" i="12" s="1"/>
  <c r="AG68" i="15"/>
  <c r="AB93" i="12" s="1"/>
  <c r="V64" i="15"/>
  <c r="Q89" i="12" s="1"/>
  <c r="V65" i="15"/>
  <c r="Q90" i="12" s="1"/>
  <c r="V66" i="15"/>
  <c r="Q91" i="12" s="1"/>
  <c r="V67" i="15"/>
  <c r="Q92" i="12" s="1"/>
  <c r="V68" i="15"/>
  <c r="Q93" i="12" s="1"/>
  <c r="V63" i="15"/>
  <c r="Q88" i="12" s="1"/>
  <c r="U64" i="15"/>
  <c r="P89" i="12" s="1"/>
  <c r="U65" i="15"/>
  <c r="P90" i="12" s="1"/>
  <c r="U66" i="15"/>
  <c r="P91" i="12" s="1"/>
  <c r="U67" i="15"/>
  <c r="P92" i="12" s="1"/>
  <c r="U68" i="15"/>
  <c r="P93" i="12" s="1"/>
  <c r="U63" i="15"/>
  <c r="P88" i="12" s="1"/>
  <c r="U54" i="15"/>
  <c r="U55" i="15"/>
  <c r="P80" i="12" s="1"/>
  <c r="U56" i="15"/>
  <c r="P81" i="12" s="1"/>
  <c r="U57" i="15"/>
  <c r="U58" i="15"/>
  <c r="U59" i="15"/>
  <c r="P84" i="12" s="1"/>
  <c r="U60" i="15"/>
  <c r="P85" i="12" s="1"/>
  <c r="U61" i="15"/>
  <c r="P86" i="12" s="1"/>
  <c r="U62" i="15"/>
  <c r="P87" i="12" s="1"/>
  <c r="W53" i="15"/>
  <c r="R78" i="12" s="1"/>
  <c r="X53" i="15"/>
  <c r="S78" i="12" s="1"/>
  <c r="Y53" i="15"/>
  <c r="T78" i="12" s="1"/>
  <c r="Z53" i="15"/>
  <c r="U78" i="12" s="1"/>
  <c r="AA53" i="15"/>
  <c r="V78" i="12" s="1"/>
  <c r="AB53" i="15"/>
  <c r="W78" i="12" s="1"/>
  <c r="AC53" i="15"/>
  <c r="X78" i="12" s="1"/>
  <c r="AD53" i="15"/>
  <c r="Y78" i="12" s="1"/>
  <c r="AE53" i="15"/>
  <c r="Z78" i="12" s="1"/>
  <c r="AF53" i="15"/>
  <c r="AA78" i="12" s="1"/>
  <c r="AG53" i="15"/>
  <c r="AB78" i="12" s="1"/>
  <c r="W54" i="15"/>
  <c r="R79" i="12" s="1"/>
  <c r="X54" i="15"/>
  <c r="S79" i="12" s="1"/>
  <c r="Y54" i="15"/>
  <c r="T79" i="12" s="1"/>
  <c r="Z54" i="15"/>
  <c r="U79" i="12" s="1"/>
  <c r="AA54" i="15"/>
  <c r="V79" i="12" s="1"/>
  <c r="AB54" i="15"/>
  <c r="W79" i="12" s="1"/>
  <c r="AC54" i="15"/>
  <c r="X79" i="12" s="1"/>
  <c r="AD54" i="15"/>
  <c r="Y79" i="12" s="1"/>
  <c r="AE54" i="15"/>
  <c r="Z79" i="12" s="1"/>
  <c r="AF54" i="15"/>
  <c r="AA79" i="12" s="1"/>
  <c r="AG54" i="15"/>
  <c r="AB79" i="12" s="1"/>
  <c r="W55" i="15"/>
  <c r="R80" i="12" s="1"/>
  <c r="X55" i="15"/>
  <c r="S80" i="12" s="1"/>
  <c r="Y55" i="15"/>
  <c r="T80" i="12" s="1"/>
  <c r="Z55" i="15"/>
  <c r="U80" i="12" s="1"/>
  <c r="AA55" i="15"/>
  <c r="V80" i="12" s="1"/>
  <c r="AB55" i="15"/>
  <c r="W80" i="12" s="1"/>
  <c r="AC55" i="15"/>
  <c r="X80" i="12" s="1"/>
  <c r="AD55" i="15"/>
  <c r="Y80" i="12" s="1"/>
  <c r="AE55" i="15"/>
  <c r="Z80" i="12" s="1"/>
  <c r="AF55" i="15"/>
  <c r="AA80" i="12" s="1"/>
  <c r="AG55" i="15"/>
  <c r="AB80" i="12" s="1"/>
  <c r="W56" i="15"/>
  <c r="R81" i="12" s="1"/>
  <c r="X56" i="15"/>
  <c r="S81" i="12" s="1"/>
  <c r="Y56" i="15"/>
  <c r="T81" i="12" s="1"/>
  <c r="Z56" i="15"/>
  <c r="U81" i="12" s="1"/>
  <c r="AA56" i="15"/>
  <c r="V81" i="12" s="1"/>
  <c r="AB56" i="15"/>
  <c r="W81" i="12" s="1"/>
  <c r="AC56" i="15"/>
  <c r="X81" i="12" s="1"/>
  <c r="AD56" i="15"/>
  <c r="Y81" i="12" s="1"/>
  <c r="AE56" i="15"/>
  <c r="Z81" i="12" s="1"/>
  <c r="AF56" i="15"/>
  <c r="AA81" i="12" s="1"/>
  <c r="AG56" i="15"/>
  <c r="AB81" i="12" s="1"/>
  <c r="W57" i="15"/>
  <c r="R82" i="12" s="1"/>
  <c r="X57" i="15"/>
  <c r="S82" i="12" s="1"/>
  <c r="Y57" i="15"/>
  <c r="T82" i="12" s="1"/>
  <c r="Z57" i="15"/>
  <c r="U82" i="12" s="1"/>
  <c r="AA57" i="15"/>
  <c r="V82" i="12" s="1"/>
  <c r="AB57" i="15"/>
  <c r="W82" i="12" s="1"/>
  <c r="AC57" i="15"/>
  <c r="X82" i="12" s="1"/>
  <c r="AD57" i="15"/>
  <c r="Y82" i="12" s="1"/>
  <c r="AE57" i="15"/>
  <c r="Z82" i="12" s="1"/>
  <c r="AF57" i="15"/>
  <c r="AA82" i="12" s="1"/>
  <c r="AG57" i="15"/>
  <c r="AB82" i="12" s="1"/>
  <c r="W58" i="15"/>
  <c r="R83" i="12" s="1"/>
  <c r="X58" i="15"/>
  <c r="S83" i="12" s="1"/>
  <c r="Y58" i="15"/>
  <c r="T83" i="12" s="1"/>
  <c r="Z58" i="15"/>
  <c r="U83" i="12" s="1"/>
  <c r="AA58" i="15"/>
  <c r="V83" i="12" s="1"/>
  <c r="AB58" i="15"/>
  <c r="W83" i="12" s="1"/>
  <c r="AC58" i="15"/>
  <c r="X83" i="12" s="1"/>
  <c r="AD58" i="15"/>
  <c r="Y83" i="12" s="1"/>
  <c r="AE58" i="15"/>
  <c r="Z83" i="12" s="1"/>
  <c r="AF58" i="15"/>
  <c r="AA83" i="12" s="1"/>
  <c r="AG58" i="15"/>
  <c r="AB83" i="12" s="1"/>
  <c r="W59" i="15"/>
  <c r="R84" i="12" s="1"/>
  <c r="X59" i="15"/>
  <c r="S84" i="12" s="1"/>
  <c r="Y59" i="15"/>
  <c r="T84" i="12" s="1"/>
  <c r="Z59" i="15"/>
  <c r="U84" i="12" s="1"/>
  <c r="AA59" i="15"/>
  <c r="V84" i="12" s="1"/>
  <c r="AB59" i="15"/>
  <c r="W84" i="12" s="1"/>
  <c r="AC59" i="15"/>
  <c r="X84" i="12" s="1"/>
  <c r="AD59" i="15"/>
  <c r="Y84" i="12" s="1"/>
  <c r="AE59" i="15"/>
  <c r="Z84" i="12" s="1"/>
  <c r="AF59" i="15"/>
  <c r="AA84" i="12" s="1"/>
  <c r="AG59" i="15"/>
  <c r="AB84" i="12" s="1"/>
  <c r="W60" i="15"/>
  <c r="R85" i="12" s="1"/>
  <c r="X60" i="15"/>
  <c r="S85" i="12" s="1"/>
  <c r="Y60" i="15"/>
  <c r="T85" i="12" s="1"/>
  <c r="Z60" i="15"/>
  <c r="U85" i="12" s="1"/>
  <c r="AA60" i="15"/>
  <c r="V85" i="12" s="1"/>
  <c r="AB60" i="15"/>
  <c r="W85" i="12" s="1"/>
  <c r="AC60" i="15"/>
  <c r="X85" i="12" s="1"/>
  <c r="AD60" i="15"/>
  <c r="Y85" i="12" s="1"/>
  <c r="AE60" i="15"/>
  <c r="Z85" i="12" s="1"/>
  <c r="AF60" i="15"/>
  <c r="AA85" i="12" s="1"/>
  <c r="AG60" i="15"/>
  <c r="AB85" i="12" s="1"/>
  <c r="W61" i="15"/>
  <c r="R86" i="12" s="1"/>
  <c r="X61" i="15"/>
  <c r="S86" i="12" s="1"/>
  <c r="Y61" i="15"/>
  <c r="T86" i="12" s="1"/>
  <c r="Z61" i="15"/>
  <c r="U86" i="12" s="1"/>
  <c r="AA61" i="15"/>
  <c r="V86" i="12" s="1"/>
  <c r="AB61" i="15"/>
  <c r="W86" i="12" s="1"/>
  <c r="AC61" i="15"/>
  <c r="X86" i="12" s="1"/>
  <c r="AD61" i="15"/>
  <c r="Y86" i="12" s="1"/>
  <c r="AE61" i="15"/>
  <c r="Z86" i="12" s="1"/>
  <c r="AF61" i="15"/>
  <c r="AA86" i="12" s="1"/>
  <c r="AG61" i="15"/>
  <c r="AB86" i="12" s="1"/>
  <c r="W62" i="15"/>
  <c r="R87" i="12" s="1"/>
  <c r="X62" i="15"/>
  <c r="S87" i="12" s="1"/>
  <c r="Y62" i="15"/>
  <c r="T87" i="12" s="1"/>
  <c r="Z62" i="15"/>
  <c r="U87" i="12" s="1"/>
  <c r="AA62" i="15"/>
  <c r="V87" i="12" s="1"/>
  <c r="AB62" i="15"/>
  <c r="W87" i="12" s="1"/>
  <c r="AC62" i="15"/>
  <c r="X87" i="12" s="1"/>
  <c r="AD62" i="15"/>
  <c r="Y87" i="12" s="1"/>
  <c r="AE62" i="15"/>
  <c r="Z87" i="12" s="1"/>
  <c r="AF62" i="15"/>
  <c r="AA87" i="12" s="1"/>
  <c r="AG62" i="15"/>
  <c r="AB87" i="12" s="1"/>
  <c r="V54" i="15"/>
  <c r="Q79" i="12" s="1"/>
  <c r="V55" i="15"/>
  <c r="Q80" i="12" s="1"/>
  <c r="V56" i="15"/>
  <c r="Q81" i="12" s="1"/>
  <c r="V57" i="15"/>
  <c r="Q82" i="12" s="1"/>
  <c r="V58" i="15"/>
  <c r="Q83" i="12" s="1"/>
  <c r="V59" i="15"/>
  <c r="Q84" i="12" s="1"/>
  <c r="V60" i="15"/>
  <c r="Q85" i="12" s="1"/>
  <c r="V61" i="15"/>
  <c r="Q86" i="12" s="1"/>
  <c r="V62" i="15"/>
  <c r="Q87" i="12" s="1"/>
  <c r="V53" i="15"/>
  <c r="Q78" i="12" s="1"/>
  <c r="U53" i="15"/>
  <c r="P78" i="12" s="1"/>
  <c r="W45" i="15"/>
  <c r="R70" i="12" s="1"/>
  <c r="X45" i="15"/>
  <c r="S70" i="12" s="1"/>
  <c r="Y45" i="15"/>
  <c r="T70" i="12" s="1"/>
  <c r="Z45" i="15"/>
  <c r="U70" i="12" s="1"/>
  <c r="AA45" i="15"/>
  <c r="V70" i="12" s="1"/>
  <c r="AB45" i="15"/>
  <c r="W70" i="12" s="1"/>
  <c r="AC45" i="15"/>
  <c r="X70" i="12" s="1"/>
  <c r="AD45" i="15"/>
  <c r="Y70" i="12" s="1"/>
  <c r="AE45" i="15"/>
  <c r="Z70" i="12" s="1"/>
  <c r="AF45" i="15"/>
  <c r="AA70" i="12" s="1"/>
  <c r="AG45" i="15"/>
  <c r="AB70" i="12" s="1"/>
  <c r="W46" i="15"/>
  <c r="R71" i="12" s="1"/>
  <c r="X46" i="15"/>
  <c r="S71" i="12" s="1"/>
  <c r="Y46" i="15"/>
  <c r="T71" i="12" s="1"/>
  <c r="Z46" i="15"/>
  <c r="U71" i="12" s="1"/>
  <c r="AA46" i="15"/>
  <c r="V71" i="12" s="1"/>
  <c r="AB46" i="15"/>
  <c r="W71" i="12" s="1"/>
  <c r="AC46" i="15"/>
  <c r="X71" i="12" s="1"/>
  <c r="AD46" i="15"/>
  <c r="Y71" i="12" s="1"/>
  <c r="AE46" i="15"/>
  <c r="Z71" i="12" s="1"/>
  <c r="AF46" i="15"/>
  <c r="AA71" i="12" s="1"/>
  <c r="AG46" i="15"/>
  <c r="AB71" i="12" s="1"/>
  <c r="W47" i="15"/>
  <c r="R72" i="12" s="1"/>
  <c r="X47" i="15"/>
  <c r="S72" i="12" s="1"/>
  <c r="Y47" i="15"/>
  <c r="T72" i="12" s="1"/>
  <c r="Z47" i="15"/>
  <c r="U72" i="12" s="1"/>
  <c r="AA47" i="15"/>
  <c r="V72" i="12" s="1"/>
  <c r="AB47" i="15"/>
  <c r="W72" i="12" s="1"/>
  <c r="AC47" i="15"/>
  <c r="X72" i="12" s="1"/>
  <c r="AD47" i="15"/>
  <c r="Y72" i="12" s="1"/>
  <c r="AE47" i="15"/>
  <c r="Z72" i="12" s="1"/>
  <c r="AF47" i="15"/>
  <c r="AA72" i="12" s="1"/>
  <c r="AG47" i="15"/>
  <c r="AB72" i="12" s="1"/>
  <c r="W48" i="15"/>
  <c r="R73" i="12" s="1"/>
  <c r="X48" i="15"/>
  <c r="S73" i="12" s="1"/>
  <c r="Y48" i="15"/>
  <c r="T73" i="12" s="1"/>
  <c r="Z48" i="15"/>
  <c r="U73" i="12" s="1"/>
  <c r="AA48" i="15"/>
  <c r="V73" i="12" s="1"/>
  <c r="AB48" i="15"/>
  <c r="W73" i="12" s="1"/>
  <c r="AC48" i="15"/>
  <c r="X73" i="12" s="1"/>
  <c r="AD48" i="15"/>
  <c r="Y73" i="12" s="1"/>
  <c r="AE48" i="15"/>
  <c r="Z73" i="12" s="1"/>
  <c r="AF48" i="15"/>
  <c r="AA73" i="12" s="1"/>
  <c r="AG48" i="15"/>
  <c r="AB73" i="12" s="1"/>
  <c r="W49" i="15"/>
  <c r="R74" i="12" s="1"/>
  <c r="X49" i="15"/>
  <c r="S74" i="12" s="1"/>
  <c r="Y49" i="15"/>
  <c r="T74" i="12" s="1"/>
  <c r="Z49" i="15"/>
  <c r="U74" i="12" s="1"/>
  <c r="AA49" i="15"/>
  <c r="V74" i="12" s="1"/>
  <c r="AB49" i="15"/>
  <c r="W74" i="12" s="1"/>
  <c r="AC49" i="15"/>
  <c r="X74" i="12" s="1"/>
  <c r="AD49" i="15"/>
  <c r="Y74" i="12" s="1"/>
  <c r="AE49" i="15"/>
  <c r="Z74" i="12" s="1"/>
  <c r="AF49" i="15"/>
  <c r="AA74" i="12" s="1"/>
  <c r="AG49" i="15"/>
  <c r="AB74" i="12" s="1"/>
  <c r="W50" i="15"/>
  <c r="R75" i="12" s="1"/>
  <c r="X50" i="15"/>
  <c r="S75" i="12" s="1"/>
  <c r="Y50" i="15"/>
  <c r="T75" i="12" s="1"/>
  <c r="Z50" i="15"/>
  <c r="U75" i="12" s="1"/>
  <c r="AA50" i="15"/>
  <c r="V75" i="12" s="1"/>
  <c r="AB50" i="15"/>
  <c r="W75" i="12" s="1"/>
  <c r="AC50" i="15"/>
  <c r="X75" i="12" s="1"/>
  <c r="AD50" i="15"/>
  <c r="Y75" i="12" s="1"/>
  <c r="AE50" i="15"/>
  <c r="Z75" i="12" s="1"/>
  <c r="AF50" i="15"/>
  <c r="AA75" i="12" s="1"/>
  <c r="AG50" i="15"/>
  <c r="AB75" i="12" s="1"/>
  <c r="W51" i="15"/>
  <c r="R76" i="12" s="1"/>
  <c r="X51" i="15"/>
  <c r="S76" i="12" s="1"/>
  <c r="Y51" i="15"/>
  <c r="T76" i="12" s="1"/>
  <c r="Z51" i="15"/>
  <c r="U76" i="12" s="1"/>
  <c r="AA51" i="15"/>
  <c r="V76" i="12" s="1"/>
  <c r="AB51" i="15"/>
  <c r="W76" i="12" s="1"/>
  <c r="AC51" i="15"/>
  <c r="X76" i="12" s="1"/>
  <c r="AD51" i="15"/>
  <c r="Y76" i="12" s="1"/>
  <c r="AE51" i="15"/>
  <c r="Z76" i="12" s="1"/>
  <c r="AF51" i="15"/>
  <c r="AA76" i="12" s="1"/>
  <c r="AG51" i="15"/>
  <c r="AB76" i="12" s="1"/>
  <c r="W52" i="15"/>
  <c r="R77" i="12" s="1"/>
  <c r="X52" i="15"/>
  <c r="S77" i="12" s="1"/>
  <c r="Y52" i="15"/>
  <c r="T77" i="12" s="1"/>
  <c r="Z52" i="15"/>
  <c r="U77" i="12" s="1"/>
  <c r="AA52" i="15"/>
  <c r="V77" i="12" s="1"/>
  <c r="AB52" i="15"/>
  <c r="W77" i="12" s="1"/>
  <c r="AC52" i="15"/>
  <c r="X77" i="12" s="1"/>
  <c r="AD52" i="15"/>
  <c r="Y77" i="12" s="1"/>
  <c r="AE52" i="15"/>
  <c r="Z77" i="12" s="1"/>
  <c r="AF52" i="15"/>
  <c r="AA77" i="12" s="1"/>
  <c r="AG52" i="15"/>
  <c r="AB77" i="12" s="1"/>
  <c r="U45" i="15"/>
  <c r="P70" i="12" s="1"/>
  <c r="U46" i="15"/>
  <c r="U47" i="15"/>
  <c r="P72" i="12" s="1"/>
  <c r="U48" i="15"/>
  <c r="U49" i="15"/>
  <c r="U50" i="15"/>
  <c r="U51" i="15"/>
  <c r="P76" i="12" s="1"/>
  <c r="U52" i="15"/>
  <c r="V52" i="15"/>
  <c r="Q77" i="12" s="1"/>
  <c r="V45" i="15"/>
  <c r="Q70" i="12" s="1"/>
  <c r="V46" i="15"/>
  <c r="Q71" i="12" s="1"/>
  <c r="V47" i="15"/>
  <c r="Q72" i="12" s="1"/>
  <c r="V48" i="15"/>
  <c r="Q73" i="12" s="1"/>
  <c r="V49" i="15"/>
  <c r="Q74" i="12" s="1"/>
  <c r="V50" i="15"/>
  <c r="Q75" i="12" s="1"/>
  <c r="V51" i="15"/>
  <c r="Q76" i="12" s="1"/>
  <c r="W40" i="15"/>
  <c r="R65" i="12" s="1"/>
  <c r="X40" i="15"/>
  <c r="S65" i="12" s="1"/>
  <c r="Y40" i="15"/>
  <c r="T65" i="12" s="1"/>
  <c r="Z40" i="15"/>
  <c r="U65" i="12" s="1"/>
  <c r="AA40" i="15"/>
  <c r="V65" i="12" s="1"/>
  <c r="AB40" i="15"/>
  <c r="W65" i="12" s="1"/>
  <c r="AC40" i="15"/>
  <c r="X65" i="12" s="1"/>
  <c r="AD40" i="15"/>
  <c r="Y65" i="12" s="1"/>
  <c r="AE40" i="15"/>
  <c r="Z65" i="12" s="1"/>
  <c r="AF40" i="15"/>
  <c r="AA65" i="12" s="1"/>
  <c r="AG40" i="15"/>
  <c r="AB65" i="12" s="1"/>
  <c r="W41" i="15"/>
  <c r="R66" i="12" s="1"/>
  <c r="X41" i="15"/>
  <c r="S66" i="12" s="1"/>
  <c r="Y41" i="15"/>
  <c r="T66" i="12" s="1"/>
  <c r="Z41" i="15"/>
  <c r="U66" i="12" s="1"/>
  <c r="AA41" i="15"/>
  <c r="V66" i="12" s="1"/>
  <c r="AB41" i="15"/>
  <c r="W66" i="12" s="1"/>
  <c r="AC41" i="15"/>
  <c r="X66" i="12" s="1"/>
  <c r="AD41" i="15"/>
  <c r="Y66" i="12" s="1"/>
  <c r="AE41" i="15"/>
  <c r="Z66" i="12" s="1"/>
  <c r="AF41" i="15"/>
  <c r="AA66" i="12" s="1"/>
  <c r="AG41" i="15"/>
  <c r="AB66" i="12" s="1"/>
  <c r="W42" i="15"/>
  <c r="R67" i="12" s="1"/>
  <c r="X42" i="15"/>
  <c r="S67" i="12" s="1"/>
  <c r="Y42" i="15"/>
  <c r="T67" i="12" s="1"/>
  <c r="Z42" i="15"/>
  <c r="U67" i="12" s="1"/>
  <c r="AA42" i="15"/>
  <c r="V67" i="12" s="1"/>
  <c r="AB42" i="15"/>
  <c r="W67" i="12" s="1"/>
  <c r="AC42" i="15"/>
  <c r="X67" i="12" s="1"/>
  <c r="AD42" i="15"/>
  <c r="Y67" i="12" s="1"/>
  <c r="AE42" i="15"/>
  <c r="Z67" i="12" s="1"/>
  <c r="AF42" i="15"/>
  <c r="AA67" i="12" s="1"/>
  <c r="AG42" i="15"/>
  <c r="AB67" i="12" s="1"/>
  <c r="W43" i="15"/>
  <c r="R68" i="12" s="1"/>
  <c r="X43" i="15"/>
  <c r="S68" i="12" s="1"/>
  <c r="Y43" i="15"/>
  <c r="T68" i="12" s="1"/>
  <c r="Z43" i="15"/>
  <c r="U68" i="12" s="1"/>
  <c r="AA43" i="15"/>
  <c r="V68" i="12" s="1"/>
  <c r="AB43" i="15"/>
  <c r="W68" i="12" s="1"/>
  <c r="AC43" i="15"/>
  <c r="X68" i="12" s="1"/>
  <c r="AD43" i="15"/>
  <c r="Y68" i="12" s="1"/>
  <c r="AE43" i="15"/>
  <c r="Z68" i="12" s="1"/>
  <c r="AF43" i="15"/>
  <c r="AA68" i="12" s="1"/>
  <c r="AG43" i="15"/>
  <c r="AB68" i="12" s="1"/>
  <c r="W44" i="15"/>
  <c r="R69" i="12" s="1"/>
  <c r="X44" i="15"/>
  <c r="S69" i="12" s="1"/>
  <c r="Y44" i="15"/>
  <c r="T69" i="12" s="1"/>
  <c r="Z44" i="15"/>
  <c r="U69" i="12" s="1"/>
  <c r="AA44" i="15"/>
  <c r="V69" i="12" s="1"/>
  <c r="AB44" i="15"/>
  <c r="W69" i="12" s="1"/>
  <c r="AC44" i="15"/>
  <c r="X69" i="12" s="1"/>
  <c r="AD44" i="15"/>
  <c r="Y69" i="12" s="1"/>
  <c r="AE44" i="15"/>
  <c r="Z69" i="12" s="1"/>
  <c r="AF44" i="15"/>
  <c r="AA69" i="12" s="1"/>
  <c r="AG44" i="15"/>
  <c r="AB69" i="12" s="1"/>
  <c r="V41" i="15"/>
  <c r="Q66" i="12" s="1"/>
  <c r="V42" i="15"/>
  <c r="Q67" i="12" s="1"/>
  <c r="V43" i="15"/>
  <c r="Q68" i="12" s="1"/>
  <c r="V44" i="15"/>
  <c r="Q69" i="12" s="1"/>
  <c r="V40" i="15"/>
  <c r="Q65" i="12" s="1"/>
  <c r="U41" i="15"/>
  <c r="U42" i="15"/>
  <c r="U43" i="15"/>
  <c r="U44" i="15"/>
  <c r="P69" i="12" s="1"/>
  <c r="U40" i="15"/>
  <c r="P65" i="12" s="1"/>
  <c r="W38" i="15"/>
  <c r="R63" i="12" s="1"/>
  <c r="X38" i="15"/>
  <c r="S63" i="12" s="1"/>
  <c r="Y38" i="15"/>
  <c r="T63" i="12" s="1"/>
  <c r="Z38" i="15"/>
  <c r="U63" i="12" s="1"/>
  <c r="AA38" i="15"/>
  <c r="V63" i="12" s="1"/>
  <c r="AB38" i="15"/>
  <c r="W63" i="12" s="1"/>
  <c r="AC38" i="15"/>
  <c r="X63" i="12" s="1"/>
  <c r="AD38" i="15"/>
  <c r="Y63" i="12" s="1"/>
  <c r="AE38" i="15"/>
  <c r="Z63" i="12" s="1"/>
  <c r="AF38" i="15"/>
  <c r="AA63" i="12" s="1"/>
  <c r="AG38" i="15"/>
  <c r="AB63" i="12" s="1"/>
  <c r="W39" i="15"/>
  <c r="R64" i="12" s="1"/>
  <c r="X39" i="15"/>
  <c r="S64" i="12" s="1"/>
  <c r="Y39" i="15"/>
  <c r="T64" i="12" s="1"/>
  <c r="Z39" i="15"/>
  <c r="U64" i="12" s="1"/>
  <c r="AA39" i="15"/>
  <c r="V64" i="12" s="1"/>
  <c r="AB39" i="15"/>
  <c r="W64" i="12" s="1"/>
  <c r="AC39" i="15"/>
  <c r="X64" i="12" s="1"/>
  <c r="AD39" i="15"/>
  <c r="Y64" i="12" s="1"/>
  <c r="AE39" i="15"/>
  <c r="Z64" i="12" s="1"/>
  <c r="AF39" i="15"/>
  <c r="AA64" i="12" s="1"/>
  <c r="AG39" i="15"/>
  <c r="AB64" i="12" s="1"/>
  <c r="V39" i="15"/>
  <c r="Q64" i="12" s="1"/>
  <c r="V38" i="15"/>
  <c r="Q63" i="12" s="1"/>
  <c r="U39" i="15"/>
  <c r="P64" i="12" s="1"/>
  <c r="U38" i="15"/>
  <c r="W35" i="15"/>
  <c r="R60" i="12" s="1"/>
  <c r="X35" i="15"/>
  <c r="S60" i="12" s="1"/>
  <c r="Y35" i="15"/>
  <c r="T60" i="12" s="1"/>
  <c r="Z35" i="15"/>
  <c r="U60" i="12" s="1"/>
  <c r="AA35" i="15"/>
  <c r="V60" i="12" s="1"/>
  <c r="AB35" i="15"/>
  <c r="W60" i="12" s="1"/>
  <c r="AC35" i="15"/>
  <c r="X60" i="12" s="1"/>
  <c r="AD35" i="15"/>
  <c r="Y60" i="12" s="1"/>
  <c r="AE35" i="15"/>
  <c r="Z60" i="12" s="1"/>
  <c r="AF35" i="15"/>
  <c r="AA60" i="12" s="1"/>
  <c r="AG35" i="15"/>
  <c r="AB60" i="12" s="1"/>
  <c r="W36" i="15"/>
  <c r="R61" i="12" s="1"/>
  <c r="X36" i="15"/>
  <c r="S61" i="12" s="1"/>
  <c r="Y36" i="15"/>
  <c r="T61" i="12" s="1"/>
  <c r="Z36" i="15"/>
  <c r="U61" i="12" s="1"/>
  <c r="AA36" i="15"/>
  <c r="V61" i="12" s="1"/>
  <c r="AB36" i="15"/>
  <c r="W61" i="12" s="1"/>
  <c r="AC36" i="15"/>
  <c r="X61" i="12" s="1"/>
  <c r="AD36" i="15"/>
  <c r="Y61" i="12" s="1"/>
  <c r="AE36" i="15"/>
  <c r="Z61" i="12" s="1"/>
  <c r="AF36" i="15"/>
  <c r="AA61" i="12" s="1"/>
  <c r="AG36" i="15"/>
  <c r="AB61" i="12" s="1"/>
  <c r="W37" i="15"/>
  <c r="R62" i="12" s="1"/>
  <c r="X37" i="15"/>
  <c r="S62" i="12" s="1"/>
  <c r="Y37" i="15"/>
  <c r="T62" i="12" s="1"/>
  <c r="Z37" i="15"/>
  <c r="U62" i="12" s="1"/>
  <c r="AA37" i="15"/>
  <c r="V62" i="12" s="1"/>
  <c r="AB37" i="15"/>
  <c r="W62" i="12" s="1"/>
  <c r="AC37" i="15"/>
  <c r="X62" i="12" s="1"/>
  <c r="AD37" i="15"/>
  <c r="Y62" i="12" s="1"/>
  <c r="AE37" i="15"/>
  <c r="Z62" i="12" s="1"/>
  <c r="AF37" i="15"/>
  <c r="AA62" i="12" s="1"/>
  <c r="AG37" i="15"/>
  <c r="AB62" i="12" s="1"/>
  <c r="V36" i="15"/>
  <c r="Q61" i="12" s="1"/>
  <c r="V37" i="15"/>
  <c r="Q62" i="12" s="1"/>
  <c r="V35" i="15"/>
  <c r="Q60" i="12" s="1"/>
  <c r="U36" i="15"/>
  <c r="U37" i="15"/>
  <c r="P62" i="12" s="1"/>
  <c r="U35" i="15"/>
  <c r="W30" i="15"/>
  <c r="R55" i="12" s="1"/>
  <c r="X30" i="15"/>
  <c r="S55" i="12" s="1"/>
  <c r="Y30" i="15"/>
  <c r="T55" i="12" s="1"/>
  <c r="Z30" i="15"/>
  <c r="U55" i="12" s="1"/>
  <c r="AA30" i="15"/>
  <c r="V55" i="12" s="1"/>
  <c r="AB30" i="15"/>
  <c r="W55" i="12" s="1"/>
  <c r="AC30" i="15"/>
  <c r="X55" i="12" s="1"/>
  <c r="AD30" i="15"/>
  <c r="Y55" i="12" s="1"/>
  <c r="AE30" i="15"/>
  <c r="Z55" i="12" s="1"/>
  <c r="AF30" i="15"/>
  <c r="AA55" i="12" s="1"/>
  <c r="AG30" i="15"/>
  <c r="AB55" i="12" s="1"/>
  <c r="W31" i="15"/>
  <c r="R56" i="12" s="1"/>
  <c r="X31" i="15"/>
  <c r="S56" i="12" s="1"/>
  <c r="Y31" i="15"/>
  <c r="T56" i="12" s="1"/>
  <c r="Z31" i="15"/>
  <c r="U56" i="12" s="1"/>
  <c r="AA31" i="15"/>
  <c r="V56" i="12" s="1"/>
  <c r="AB31" i="15"/>
  <c r="W56" i="12" s="1"/>
  <c r="AC31" i="15"/>
  <c r="X56" i="12" s="1"/>
  <c r="AD31" i="15"/>
  <c r="Y56" i="12" s="1"/>
  <c r="AE31" i="15"/>
  <c r="Z56" i="12" s="1"/>
  <c r="AF31" i="15"/>
  <c r="AA56" i="12" s="1"/>
  <c r="AG31" i="15"/>
  <c r="AB56" i="12" s="1"/>
  <c r="W32" i="15"/>
  <c r="R57" i="12" s="1"/>
  <c r="X32" i="15"/>
  <c r="S57" i="12" s="1"/>
  <c r="Y32" i="15"/>
  <c r="T57" i="12" s="1"/>
  <c r="Z32" i="15"/>
  <c r="U57" i="12" s="1"/>
  <c r="AA32" i="15"/>
  <c r="V57" i="12" s="1"/>
  <c r="AB32" i="15"/>
  <c r="W57" i="12" s="1"/>
  <c r="AC32" i="15"/>
  <c r="X57" i="12" s="1"/>
  <c r="AD32" i="15"/>
  <c r="Y57" i="12" s="1"/>
  <c r="AE32" i="15"/>
  <c r="Z57" i="12" s="1"/>
  <c r="AF32" i="15"/>
  <c r="AA57" i="12" s="1"/>
  <c r="AG32" i="15"/>
  <c r="AB57" i="12" s="1"/>
  <c r="W33" i="15"/>
  <c r="R58" i="12" s="1"/>
  <c r="X33" i="15"/>
  <c r="S58" i="12" s="1"/>
  <c r="Y33" i="15"/>
  <c r="T58" i="12" s="1"/>
  <c r="Z33" i="15"/>
  <c r="U58" i="12" s="1"/>
  <c r="AA33" i="15"/>
  <c r="V58" i="12" s="1"/>
  <c r="AB33" i="15"/>
  <c r="W58" i="12" s="1"/>
  <c r="AC33" i="15"/>
  <c r="X58" i="12" s="1"/>
  <c r="AD33" i="15"/>
  <c r="Y58" i="12" s="1"/>
  <c r="AE33" i="15"/>
  <c r="Z58" i="12" s="1"/>
  <c r="AF33" i="15"/>
  <c r="AA58" i="12" s="1"/>
  <c r="AG33" i="15"/>
  <c r="AB58" i="12" s="1"/>
  <c r="W34" i="15"/>
  <c r="R59" i="12" s="1"/>
  <c r="X34" i="15"/>
  <c r="S59" i="12" s="1"/>
  <c r="Y34" i="15"/>
  <c r="T59" i="12" s="1"/>
  <c r="Z34" i="15"/>
  <c r="U59" i="12" s="1"/>
  <c r="AA34" i="15"/>
  <c r="V59" i="12" s="1"/>
  <c r="AB34" i="15"/>
  <c r="W59" i="12" s="1"/>
  <c r="AC34" i="15"/>
  <c r="X59" i="12" s="1"/>
  <c r="AD34" i="15"/>
  <c r="Y59" i="12" s="1"/>
  <c r="AE34" i="15"/>
  <c r="Z59" i="12" s="1"/>
  <c r="AF34" i="15"/>
  <c r="AA59" i="12" s="1"/>
  <c r="AG34" i="15"/>
  <c r="AB59" i="12" s="1"/>
  <c r="V31" i="15"/>
  <c r="Q56" i="12" s="1"/>
  <c r="V32" i="15"/>
  <c r="Q57" i="12" s="1"/>
  <c r="V33" i="15"/>
  <c r="Q58" i="12" s="1"/>
  <c r="V34" i="15"/>
  <c r="Q59" i="12" s="1"/>
  <c r="V30" i="15"/>
  <c r="Q55" i="12" s="1"/>
  <c r="U31" i="15"/>
  <c r="P56" i="12" s="1"/>
  <c r="U32" i="15"/>
  <c r="U33" i="15"/>
  <c r="P58" i="12" s="1"/>
  <c r="U34" i="15"/>
  <c r="U30" i="15"/>
  <c r="W26" i="15"/>
  <c r="R51" i="12" s="1"/>
  <c r="X26" i="15"/>
  <c r="S51" i="12" s="1"/>
  <c r="Y26" i="15"/>
  <c r="T51" i="12" s="1"/>
  <c r="Z26" i="15"/>
  <c r="U51" i="12" s="1"/>
  <c r="AA26" i="15"/>
  <c r="V51" i="12" s="1"/>
  <c r="AB26" i="15"/>
  <c r="W51" i="12" s="1"/>
  <c r="AC26" i="15"/>
  <c r="X51" i="12" s="1"/>
  <c r="AD26" i="15"/>
  <c r="Y51" i="12" s="1"/>
  <c r="AE26" i="15"/>
  <c r="Z51" i="12" s="1"/>
  <c r="AF26" i="15"/>
  <c r="AA51" i="12" s="1"/>
  <c r="AG26" i="15"/>
  <c r="AB51" i="12" s="1"/>
  <c r="W27" i="15"/>
  <c r="R52" i="12" s="1"/>
  <c r="X27" i="15"/>
  <c r="S52" i="12" s="1"/>
  <c r="Y27" i="15"/>
  <c r="T52" i="12" s="1"/>
  <c r="Z27" i="15"/>
  <c r="U52" i="12" s="1"/>
  <c r="AA27" i="15"/>
  <c r="V52" i="12" s="1"/>
  <c r="AB27" i="15"/>
  <c r="W52" i="12" s="1"/>
  <c r="AC27" i="15"/>
  <c r="X52" i="12" s="1"/>
  <c r="AD27" i="15"/>
  <c r="Y52" i="12" s="1"/>
  <c r="AE27" i="15"/>
  <c r="Z52" i="12" s="1"/>
  <c r="AF27" i="15"/>
  <c r="AA52" i="12" s="1"/>
  <c r="AG27" i="15"/>
  <c r="AB52" i="12" s="1"/>
  <c r="W28" i="15"/>
  <c r="R53" i="12" s="1"/>
  <c r="X28" i="15"/>
  <c r="S53" i="12" s="1"/>
  <c r="Y28" i="15"/>
  <c r="T53" i="12" s="1"/>
  <c r="Z28" i="15"/>
  <c r="U53" i="12" s="1"/>
  <c r="AA28" i="15"/>
  <c r="V53" i="12" s="1"/>
  <c r="AB28" i="15"/>
  <c r="W53" i="12" s="1"/>
  <c r="AC28" i="15"/>
  <c r="X53" i="12" s="1"/>
  <c r="AD28" i="15"/>
  <c r="Y53" i="12" s="1"/>
  <c r="AE28" i="15"/>
  <c r="Z53" i="12" s="1"/>
  <c r="AF28" i="15"/>
  <c r="AA53" i="12" s="1"/>
  <c r="AG28" i="15"/>
  <c r="AB53" i="12" s="1"/>
  <c r="W29" i="15"/>
  <c r="R54" i="12" s="1"/>
  <c r="X29" i="15"/>
  <c r="S54" i="12" s="1"/>
  <c r="Y29" i="15"/>
  <c r="T54" i="12" s="1"/>
  <c r="Z29" i="15"/>
  <c r="U54" i="12" s="1"/>
  <c r="AA29" i="15"/>
  <c r="V54" i="12" s="1"/>
  <c r="AB29" i="15"/>
  <c r="W54" i="12" s="1"/>
  <c r="AC29" i="15"/>
  <c r="X54" i="12" s="1"/>
  <c r="AD29" i="15"/>
  <c r="Y54" i="12" s="1"/>
  <c r="AE29" i="15"/>
  <c r="Z54" i="12" s="1"/>
  <c r="AF29" i="15"/>
  <c r="AA54" i="12" s="1"/>
  <c r="AG29" i="15"/>
  <c r="AB54" i="12" s="1"/>
  <c r="V27" i="15"/>
  <c r="Q52" i="12" s="1"/>
  <c r="V28" i="15"/>
  <c r="Q53" i="12" s="1"/>
  <c r="V29" i="15"/>
  <c r="Q54" i="12" s="1"/>
  <c r="V26" i="15"/>
  <c r="Q51" i="12" s="1"/>
  <c r="U27" i="15"/>
  <c r="U28" i="15"/>
  <c r="U29" i="15"/>
  <c r="P54" i="12" s="1"/>
  <c r="U26" i="15"/>
  <c r="V21" i="15"/>
  <c r="Q46" i="12" s="1"/>
  <c r="W21" i="15"/>
  <c r="R46" i="12" s="1"/>
  <c r="X21" i="15"/>
  <c r="S46" i="12" s="1"/>
  <c r="Y21" i="15"/>
  <c r="T46" i="12" s="1"/>
  <c r="Z21" i="15"/>
  <c r="U46" i="12" s="1"/>
  <c r="AA21" i="15"/>
  <c r="V46" i="12" s="1"/>
  <c r="AB21" i="15"/>
  <c r="W46" i="12" s="1"/>
  <c r="AC21" i="15"/>
  <c r="X46" i="12" s="1"/>
  <c r="AD21" i="15"/>
  <c r="Y46" i="12" s="1"/>
  <c r="AE21" i="15"/>
  <c r="Z46" i="12" s="1"/>
  <c r="AF21" i="15"/>
  <c r="AA46" i="12" s="1"/>
  <c r="AG21" i="15"/>
  <c r="AB46" i="12" s="1"/>
  <c r="V22" i="15"/>
  <c r="Q47" i="12" s="1"/>
  <c r="W22" i="15"/>
  <c r="R47" i="12" s="1"/>
  <c r="X22" i="15"/>
  <c r="S47" i="12" s="1"/>
  <c r="Y22" i="15"/>
  <c r="T47" i="12" s="1"/>
  <c r="Z22" i="15"/>
  <c r="U47" i="12" s="1"/>
  <c r="AA22" i="15"/>
  <c r="V47" i="12" s="1"/>
  <c r="AB22" i="15"/>
  <c r="W47" i="12" s="1"/>
  <c r="AC22" i="15"/>
  <c r="X47" i="12" s="1"/>
  <c r="AD22" i="15"/>
  <c r="Y47" i="12" s="1"/>
  <c r="AE22" i="15"/>
  <c r="Z47" i="12" s="1"/>
  <c r="AF22" i="15"/>
  <c r="AA47" i="12" s="1"/>
  <c r="AG22" i="15"/>
  <c r="AB47" i="12" s="1"/>
  <c r="V23" i="15"/>
  <c r="Q48" i="12" s="1"/>
  <c r="W23" i="15"/>
  <c r="R48" i="12" s="1"/>
  <c r="X23" i="15"/>
  <c r="S48" i="12" s="1"/>
  <c r="Y23" i="15"/>
  <c r="T48" i="12" s="1"/>
  <c r="Z23" i="15"/>
  <c r="U48" i="12" s="1"/>
  <c r="AA23" i="15"/>
  <c r="V48" i="12" s="1"/>
  <c r="AB23" i="15"/>
  <c r="W48" i="12" s="1"/>
  <c r="AC23" i="15"/>
  <c r="X48" i="12" s="1"/>
  <c r="AD23" i="15"/>
  <c r="Y48" i="12" s="1"/>
  <c r="AE23" i="15"/>
  <c r="Z48" i="12" s="1"/>
  <c r="AF23" i="15"/>
  <c r="AA48" i="12" s="1"/>
  <c r="AG23" i="15"/>
  <c r="AB48" i="12" s="1"/>
  <c r="V24" i="15"/>
  <c r="Q49" i="12" s="1"/>
  <c r="W24" i="15"/>
  <c r="R49" i="12" s="1"/>
  <c r="X24" i="15"/>
  <c r="S49" i="12" s="1"/>
  <c r="Y24" i="15"/>
  <c r="T49" i="12" s="1"/>
  <c r="Z24" i="15"/>
  <c r="U49" i="12" s="1"/>
  <c r="AA24" i="15"/>
  <c r="V49" i="12" s="1"/>
  <c r="AB24" i="15"/>
  <c r="W49" i="12" s="1"/>
  <c r="AC24" i="15"/>
  <c r="X49" i="12" s="1"/>
  <c r="AD24" i="15"/>
  <c r="Y49" i="12" s="1"/>
  <c r="AE24" i="15"/>
  <c r="Z49" i="12" s="1"/>
  <c r="AF24" i="15"/>
  <c r="AA49" i="12" s="1"/>
  <c r="AG24" i="15"/>
  <c r="AB49" i="12" s="1"/>
  <c r="V25" i="15"/>
  <c r="Q50" i="12" s="1"/>
  <c r="W25" i="15"/>
  <c r="R50" i="12" s="1"/>
  <c r="X25" i="15"/>
  <c r="S50" i="12" s="1"/>
  <c r="Y25" i="15"/>
  <c r="T50" i="12" s="1"/>
  <c r="Z25" i="15"/>
  <c r="U50" i="12" s="1"/>
  <c r="AA25" i="15"/>
  <c r="V50" i="12" s="1"/>
  <c r="AB25" i="15"/>
  <c r="W50" i="12" s="1"/>
  <c r="AC25" i="15"/>
  <c r="X50" i="12" s="1"/>
  <c r="AD25" i="15"/>
  <c r="Y50" i="12" s="1"/>
  <c r="AE25" i="15"/>
  <c r="Z50" i="12" s="1"/>
  <c r="AF25" i="15"/>
  <c r="AA50" i="12" s="1"/>
  <c r="AG25" i="15"/>
  <c r="AB50" i="12" s="1"/>
  <c r="W20" i="15"/>
  <c r="R45" i="12" s="1"/>
  <c r="X20" i="15"/>
  <c r="S45" i="12" s="1"/>
  <c r="Y20" i="15"/>
  <c r="T45" i="12" s="1"/>
  <c r="Z20" i="15"/>
  <c r="U45" i="12" s="1"/>
  <c r="AA20" i="15"/>
  <c r="V45" i="12" s="1"/>
  <c r="AB20" i="15"/>
  <c r="W45" i="12" s="1"/>
  <c r="AC20" i="15"/>
  <c r="X45" i="12" s="1"/>
  <c r="AD20" i="15"/>
  <c r="Y45" i="12" s="1"/>
  <c r="AE20" i="15"/>
  <c r="Z45" i="12" s="1"/>
  <c r="AF20" i="15"/>
  <c r="AA45" i="12" s="1"/>
  <c r="AG20" i="15"/>
  <c r="AB45" i="12" s="1"/>
  <c r="V20" i="15"/>
  <c r="Q45" i="12" s="1"/>
  <c r="U21" i="15"/>
  <c r="P46" i="12" s="1"/>
  <c r="U22" i="15"/>
  <c r="U23" i="15"/>
  <c r="P48" i="12" s="1"/>
  <c r="U24" i="15"/>
  <c r="U25" i="15"/>
  <c r="P50" i="12" s="1"/>
  <c r="U20" i="15"/>
  <c r="W16" i="15"/>
  <c r="R41" i="12" s="1"/>
  <c r="X16" i="15"/>
  <c r="S41" i="12" s="1"/>
  <c r="Y16" i="15"/>
  <c r="T41" i="12" s="1"/>
  <c r="Z16" i="15"/>
  <c r="U41" i="12" s="1"/>
  <c r="AA16" i="15"/>
  <c r="V41" i="12" s="1"/>
  <c r="AB16" i="15"/>
  <c r="W41" i="12" s="1"/>
  <c r="AC16" i="15"/>
  <c r="X41" i="12" s="1"/>
  <c r="AD16" i="15"/>
  <c r="Y41" i="12" s="1"/>
  <c r="AE16" i="15"/>
  <c r="Z41" i="12" s="1"/>
  <c r="AF16" i="15"/>
  <c r="AA41" i="12" s="1"/>
  <c r="AG16" i="15"/>
  <c r="AB41" i="12" s="1"/>
  <c r="W17" i="15"/>
  <c r="R42" i="12" s="1"/>
  <c r="X17" i="15"/>
  <c r="S42" i="12" s="1"/>
  <c r="Y17" i="15"/>
  <c r="T42" i="12" s="1"/>
  <c r="Z17" i="15"/>
  <c r="U42" i="12" s="1"/>
  <c r="AA17" i="15"/>
  <c r="V42" i="12" s="1"/>
  <c r="AB17" i="15"/>
  <c r="W42" i="12" s="1"/>
  <c r="AC17" i="15"/>
  <c r="X42" i="12" s="1"/>
  <c r="AD17" i="15"/>
  <c r="Y42" i="12" s="1"/>
  <c r="AE17" i="15"/>
  <c r="Z42" i="12" s="1"/>
  <c r="AF17" i="15"/>
  <c r="AA42" i="12" s="1"/>
  <c r="AG17" i="15"/>
  <c r="AB42" i="12" s="1"/>
  <c r="W18" i="15"/>
  <c r="R43" i="12" s="1"/>
  <c r="X18" i="15"/>
  <c r="S43" i="12" s="1"/>
  <c r="Y18" i="15"/>
  <c r="T43" i="12" s="1"/>
  <c r="Z18" i="15"/>
  <c r="U43" i="12" s="1"/>
  <c r="AA18" i="15"/>
  <c r="V43" i="12" s="1"/>
  <c r="AB18" i="15"/>
  <c r="W43" i="12" s="1"/>
  <c r="AC18" i="15"/>
  <c r="X43" i="12" s="1"/>
  <c r="AD18" i="15"/>
  <c r="Y43" i="12" s="1"/>
  <c r="AE18" i="15"/>
  <c r="Z43" i="12" s="1"/>
  <c r="AF18" i="15"/>
  <c r="AA43" i="12" s="1"/>
  <c r="AG18" i="15"/>
  <c r="AB43" i="12" s="1"/>
  <c r="W19" i="15"/>
  <c r="R44" i="12" s="1"/>
  <c r="X19" i="15"/>
  <c r="S44" i="12" s="1"/>
  <c r="Y19" i="15"/>
  <c r="T44" i="12" s="1"/>
  <c r="Z19" i="15"/>
  <c r="U44" i="12" s="1"/>
  <c r="AA19" i="15"/>
  <c r="V44" i="12" s="1"/>
  <c r="AB19" i="15"/>
  <c r="W44" i="12" s="1"/>
  <c r="AC19" i="15"/>
  <c r="X44" i="12" s="1"/>
  <c r="AD19" i="15"/>
  <c r="Y44" i="12" s="1"/>
  <c r="AE19" i="15"/>
  <c r="Z44" i="12" s="1"/>
  <c r="AF19" i="15"/>
  <c r="AA44" i="12" s="1"/>
  <c r="AG19" i="15"/>
  <c r="AB44" i="12" s="1"/>
  <c r="V17" i="15"/>
  <c r="Q42" i="12" s="1"/>
  <c r="V18" i="15"/>
  <c r="Q43" i="12" s="1"/>
  <c r="V19" i="15"/>
  <c r="Q44" i="12" s="1"/>
  <c r="V16" i="15"/>
  <c r="Q41" i="12" s="1"/>
  <c r="U17" i="15"/>
  <c r="P42" i="12" s="1"/>
  <c r="U18" i="15"/>
  <c r="U19" i="15"/>
  <c r="U16" i="15"/>
  <c r="AG4" i="15"/>
  <c r="AB29" i="12" s="1"/>
  <c r="AG5" i="15"/>
  <c r="AB30" i="12" s="1"/>
  <c r="AG6" i="15"/>
  <c r="AB31" i="12" s="1"/>
  <c r="AG7" i="15"/>
  <c r="AB32" i="12" s="1"/>
  <c r="AG8" i="15"/>
  <c r="AB33" i="12" s="1"/>
  <c r="AG9" i="15"/>
  <c r="AB34" i="12" s="1"/>
  <c r="AG10" i="15"/>
  <c r="AB35" i="12" s="1"/>
  <c r="AG11" i="15"/>
  <c r="AB36" i="12" s="1"/>
  <c r="AG12" i="15"/>
  <c r="AB37" i="12" s="1"/>
  <c r="AG13" i="15"/>
  <c r="AB38" i="12" s="1"/>
  <c r="AG14" i="15"/>
  <c r="AB39" i="12" s="1"/>
  <c r="AG15" i="15"/>
  <c r="AB40" i="12" s="1"/>
  <c r="AF4" i="15"/>
  <c r="AA29" i="12" s="1"/>
  <c r="AF5" i="15"/>
  <c r="AA30" i="12" s="1"/>
  <c r="AF6" i="15"/>
  <c r="AA31" i="12" s="1"/>
  <c r="AF7" i="15"/>
  <c r="AA32" i="12" s="1"/>
  <c r="AF8" i="15"/>
  <c r="AA33" i="12" s="1"/>
  <c r="AF9" i="15"/>
  <c r="AA34" i="12" s="1"/>
  <c r="AF10" i="15"/>
  <c r="AA35" i="12" s="1"/>
  <c r="AF11" i="15"/>
  <c r="AA36" i="12" s="1"/>
  <c r="AF12" i="15"/>
  <c r="AA37" i="12" s="1"/>
  <c r="AF13" i="15"/>
  <c r="AA38" i="12" s="1"/>
  <c r="AF14" i="15"/>
  <c r="AA39" i="12" s="1"/>
  <c r="AF15" i="15"/>
  <c r="AA40" i="12" s="1"/>
  <c r="W4" i="15"/>
  <c r="R29" i="12" s="1"/>
  <c r="X4" i="15"/>
  <c r="S29" i="12" s="1"/>
  <c r="Y4" i="15"/>
  <c r="T29" i="12" s="1"/>
  <c r="Z4" i="15"/>
  <c r="U29" i="12" s="1"/>
  <c r="AA4" i="15"/>
  <c r="V29" i="12" s="1"/>
  <c r="AB4" i="15"/>
  <c r="W29" i="12" s="1"/>
  <c r="AC4" i="15"/>
  <c r="X29" i="12" s="1"/>
  <c r="AD4" i="15"/>
  <c r="Y29" i="12" s="1"/>
  <c r="AE4" i="15"/>
  <c r="Z29" i="12" s="1"/>
  <c r="W5" i="15"/>
  <c r="R30" i="12" s="1"/>
  <c r="X5" i="15"/>
  <c r="S30" i="12" s="1"/>
  <c r="Y5" i="15"/>
  <c r="T30" i="12" s="1"/>
  <c r="Z5" i="15"/>
  <c r="U30" i="12" s="1"/>
  <c r="AA5" i="15"/>
  <c r="V30" i="12" s="1"/>
  <c r="AB5" i="15"/>
  <c r="W30" i="12" s="1"/>
  <c r="AC5" i="15"/>
  <c r="X30" i="12" s="1"/>
  <c r="AD5" i="15"/>
  <c r="Y30" i="12" s="1"/>
  <c r="AE5" i="15"/>
  <c r="Z30" i="12" s="1"/>
  <c r="W6" i="15"/>
  <c r="R31" i="12" s="1"/>
  <c r="X6" i="15"/>
  <c r="S31" i="12" s="1"/>
  <c r="Y6" i="15"/>
  <c r="T31" i="12" s="1"/>
  <c r="Z6" i="15"/>
  <c r="U31" i="12" s="1"/>
  <c r="AA6" i="15"/>
  <c r="V31" i="12" s="1"/>
  <c r="AB6" i="15"/>
  <c r="W31" i="12" s="1"/>
  <c r="AC6" i="15"/>
  <c r="X31" i="12" s="1"/>
  <c r="AD6" i="15"/>
  <c r="Y31" i="12" s="1"/>
  <c r="AE6" i="15"/>
  <c r="Z31" i="12" s="1"/>
  <c r="W7" i="15"/>
  <c r="R32" i="12" s="1"/>
  <c r="X7" i="15"/>
  <c r="S32" i="12" s="1"/>
  <c r="Y7" i="15"/>
  <c r="T32" i="12" s="1"/>
  <c r="Z7" i="15"/>
  <c r="U32" i="12" s="1"/>
  <c r="AA7" i="15"/>
  <c r="V32" i="12" s="1"/>
  <c r="AB7" i="15"/>
  <c r="W32" i="12" s="1"/>
  <c r="AC7" i="15"/>
  <c r="X32" i="12" s="1"/>
  <c r="AD7" i="15"/>
  <c r="Y32" i="12" s="1"/>
  <c r="AE7" i="15"/>
  <c r="Z32" i="12" s="1"/>
  <c r="W8" i="15"/>
  <c r="R33" i="12" s="1"/>
  <c r="X8" i="15"/>
  <c r="S33" i="12" s="1"/>
  <c r="Y8" i="15"/>
  <c r="T33" i="12" s="1"/>
  <c r="Z8" i="15"/>
  <c r="U33" i="12" s="1"/>
  <c r="AA8" i="15"/>
  <c r="V33" i="12" s="1"/>
  <c r="AB8" i="15"/>
  <c r="W33" i="12" s="1"/>
  <c r="AC8" i="15"/>
  <c r="X33" i="12" s="1"/>
  <c r="AD8" i="15"/>
  <c r="Y33" i="12" s="1"/>
  <c r="AE8" i="15"/>
  <c r="Z33" i="12" s="1"/>
  <c r="W9" i="15"/>
  <c r="R34" i="12" s="1"/>
  <c r="X9" i="15"/>
  <c r="S34" i="12" s="1"/>
  <c r="Y9" i="15"/>
  <c r="T34" i="12" s="1"/>
  <c r="Z9" i="15"/>
  <c r="U34" i="12" s="1"/>
  <c r="AA9" i="15"/>
  <c r="V34" i="12" s="1"/>
  <c r="AB9" i="15"/>
  <c r="W34" i="12" s="1"/>
  <c r="AC9" i="15"/>
  <c r="X34" i="12" s="1"/>
  <c r="AD9" i="15"/>
  <c r="Y34" i="12" s="1"/>
  <c r="AE9" i="15"/>
  <c r="Z34" i="12" s="1"/>
  <c r="W10" i="15"/>
  <c r="R35" i="12" s="1"/>
  <c r="X10" i="15"/>
  <c r="S35" i="12" s="1"/>
  <c r="Y10" i="15"/>
  <c r="T35" i="12" s="1"/>
  <c r="Z10" i="15"/>
  <c r="U35" i="12" s="1"/>
  <c r="AA10" i="15"/>
  <c r="V35" i="12" s="1"/>
  <c r="AB10" i="15"/>
  <c r="W35" i="12" s="1"/>
  <c r="AC10" i="15"/>
  <c r="X35" i="12" s="1"/>
  <c r="AD10" i="15"/>
  <c r="Y35" i="12" s="1"/>
  <c r="AE10" i="15"/>
  <c r="Z35" i="12" s="1"/>
  <c r="W11" i="15"/>
  <c r="R36" i="12" s="1"/>
  <c r="X11" i="15"/>
  <c r="S36" i="12" s="1"/>
  <c r="Y11" i="15"/>
  <c r="T36" i="12" s="1"/>
  <c r="Z11" i="15"/>
  <c r="U36" i="12" s="1"/>
  <c r="AA11" i="15"/>
  <c r="V36" i="12" s="1"/>
  <c r="AB11" i="15"/>
  <c r="W36" i="12" s="1"/>
  <c r="AC11" i="15"/>
  <c r="X36" i="12" s="1"/>
  <c r="AD11" i="15"/>
  <c r="Y36" i="12" s="1"/>
  <c r="AE11" i="15"/>
  <c r="Z36" i="12" s="1"/>
  <c r="W12" i="15"/>
  <c r="R37" i="12" s="1"/>
  <c r="X12" i="15"/>
  <c r="S37" i="12" s="1"/>
  <c r="Y12" i="15"/>
  <c r="T37" i="12" s="1"/>
  <c r="Z12" i="15"/>
  <c r="U37" i="12" s="1"/>
  <c r="AA12" i="15"/>
  <c r="V37" i="12" s="1"/>
  <c r="AB12" i="15"/>
  <c r="W37" i="12" s="1"/>
  <c r="AC12" i="15"/>
  <c r="X37" i="12" s="1"/>
  <c r="AD12" i="15"/>
  <c r="Y37" i="12" s="1"/>
  <c r="AE12" i="15"/>
  <c r="Z37" i="12" s="1"/>
  <c r="W13" i="15"/>
  <c r="R38" i="12" s="1"/>
  <c r="X13" i="15"/>
  <c r="S38" i="12" s="1"/>
  <c r="Y13" i="15"/>
  <c r="T38" i="12" s="1"/>
  <c r="Z13" i="15"/>
  <c r="U38" i="12" s="1"/>
  <c r="AA13" i="15"/>
  <c r="V38" i="12" s="1"/>
  <c r="AB13" i="15"/>
  <c r="W38" i="12" s="1"/>
  <c r="AC13" i="15"/>
  <c r="X38" i="12" s="1"/>
  <c r="AD13" i="15"/>
  <c r="Y38" i="12" s="1"/>
  <c r="AE13" i="15"/>
  <c r="Z38" i="12" s="1"/>
  <c r="W14" i="15"/>
  <c r="R39" i="12" s="1"/>
  <c r="X14" i="15"/>
  <c r="S39" i="12" s="1"/>
  <c r="Y14" i="15"/>
  <c r="T39" i="12" s="1"/>
  <c r="Z14" i="15"/>
  <c r="U39" i="12" s="1"/>
  <c r="AA14" i="15"/>
  <c r="V39" i="12" s="1"/>
  <c r="AB14" i="15"/>
  <c r="W39" i="12" s="1"/>
  <c r="AC14" i="15"/>
  <c r="X39" i="12" s="1"/>
  <c r="AD14" i="15"/>
  <c r="Y39" i="12" s="1"/>
  <c r="AE14" i="15"/>
  <c r="Z39" i="12" s="1"/>
  <c r="W15" i="15"/>
  <c r="R40" i="12" s="1"/>
  <c r="X15" i="15"/>
  <c r="S40" i="12" s="1"/>
  <c r="Y15" i="15"/>
  <c r="T40" i="12" s="1"/>
  <c r="Z15" i="15"/>
  <c r="U40" i="12" s="1"/>
  <c r="AA15" i="15"/>
  <c r="V40" i="12" s="1"/>
  <c r="AB15" i="15"/>
  <c r="W40" i="12" s="1"/>
  <c r="AC15" i="15"/>
  <c r="X40" i="12" s="1"/>
  <c r="AD15" i="15"/>
  <c r="Y40" i="12" s="1"/>
  <c r="AE15" i="15"/>
  <c r="Z40" i="12" s="1"/>
  <c r="V5" i="15"/>
  <c r="Q30" i="12" s="1"/>
  <c r="V6" i="15"/>
  <c r="Q31" i="12" s="1"/>
  <c r="V7" i="15"/>
  <c r="Q32" i="12" s="1"/>
  <c r="V8" i="15"/>
  <c r="Q33" i="12" s="1"/>
  <c r="V9" i="15"/>
  <c r="Q34" i="12" s="1"/>
  <c r="V10" i="15"/>
  <c r="Q35" i="12" s="1"/>
  <c r="V11" i="15"/>
  <c r="Q36" i="12" s="1"/>
  <c r="V12" i="15"/>
  <c r="Q37" i="12" s="1"/>
  <c r="V13" i="15"/>
  <c r="Q38" i="12" s="1"/>
  <c r="V14" i="15"/>
  <c r="Q39" i="12" s="1"/>
  <c r="V15" i="15"/>
  <c r="Q40" i="12" s="1"/>
  <c r="V4" i="15"/>
  <c r="Q29" i="12" s="1"/>
  <c r="U5" i="15"/>
  <c r="P30" i="12" s="1"/>
  <c r="U6" i="15"/>
  <c r="U7" i="15"/>
  <c r="P32" i="12" s="1"/>
  <c r="U8" i="15"/>
  <c r="U9" i="15"/>
  <c r="P34" i="12" s="1"/>
  <c r="U10" i="15"/>
  <c r="U11" i="15"/>
  <c r="U12" i="15"/>
  <c r="U13" i="15"/>
  <c r="P38" i="12" s="1"/>
  <c r="U14" i="15"/>
  <c r="U15" i="15"/>
  <c r="P40" i="12" s="1"/>
  <c r="U4" i="15"/>
  <c r="P29" i="12" s="1"/>
  <c r="AA13" i="13"/>
  <c r="AB13" i="13"/>
  <c r="AC13" i="13"/>
  <c r="AD13" i="13"/>
  <c r="AE13" i="13"/>
  <c r="AF13" i="13"/>
  <c r="AG13" i="13"/>
  <c r="U14" i="13"/>
  <c r="V14" i="13"/>
  <c r="W14" i="13"/>
  <c r="X14" i="13"/>
  <c r="AE46" i="12"/>
  <c r="X7" i="9"/>
  <c r="Y7" i="9"/>
  <c r="X4" i="9"/>
  <c r="Y6" i="9"/>
  <c r="X6" i="9"/>
  <c r="AE30" i="12"/>
  <c r="AE31" i="12"/>
  <c r="AE32" i="12"/>
  <c r="AE33" i="12"/>
  <c r="AE34" i="12"/>
  <c r="AE35" i="12"/>
  <c r="AE36" i="12"/>
  <c r="AE37" i="12"/>
  <c r="AE38" i="12"/>
  <c r="AE39" i="12"/>
  <c r="AE40" i="12"/>
  <c r="AE41" i="12"/>
  <c r="AE42" i="12"/>
  <c r="AE43" i="12"/>
  <c r="AE44" i="12"/>
  <c r="AE45" i="12"/>
  <c r="AE29" i="12"/>
  <c r="P16" i="11"/>
  <c r="E27" i="11" s="1"/>
  <c r="Q20" i="13"/>
  <c r="R20" i="13"/>
  <c r="D18" i="12"/>
  <c r="Q15" i="14"/>
  <c r="K12" i="14"/>
  <c r="K13" i="14"/>
  <c r="K16" i="14"/>
  <c r="L16" i="14"/>
  <c r="L18" i="14"/>
  <c r="K28" i="14"/>
  <c r="F15" i="14"/>
  <c r="D15" i="14"/>
  <c r="D36" i="13"/>
  <c r="E36" i="13"/>
  <c r="E52" i="13"/>
  <c r="O42" i="13" s="1"/>
  <c r="E51" i="13"/>
  <c r="N42" i="13" s="1"/>
  <c r="E50" i="13"/>
  <c r="M42" i="13" s="1"/>
  <c r="E49" i="13"/>
  <c r="L42" i="13" s="1"/>
  <c r="E48" i="13"/>
  <c r="K42" i="13" s="1"/>
  <c r="E47" i="13"/>
  <c r="J42" i="13" s="1"/>
  <c r="E46" i="13"/>
  <c r="I42" i="13" s="1"/>
  <c r="E45" i="13"/>
  <c r="E44" i="13"/>
  <c r="G42" i="13" s="1"/>
  <c r="E43" i="13"/>
  <c r="F42" i="13" s="1"/>
  <c r="D52" i="13"/>
  <c r="D51" i="13"/>
  <c r="D50" i="13"/>
  <c r="D49" i="13"/>
  <c r="D48" i="13"/>
  <c r="D47" i="13"/>
  <c r="D46" i="13"/>
  <c r="D45" i="13"/>
  <c r="D44" i="13"/>
  <c r="D43" i="13"/>
  <c r="H42" i="13"/>
  <c r="I36" i="12"/>
  <c r="J36" i="12" s="1"/>
  <c r="J46" i="12" s="1"/>
  <c r="B41" i="9"/>
  <c r="B40" i="9"/>
  <c r="B39" i="9"/>
  <c r="B38" i="9"/>
  <c r="B37" i="9"/>
  <c r="B36" i="9"/>
  <c r="B35" i="9"/>
  <c r="B34" i="9"/>
  <c r="B33" i="9"/>
  <c r="B32" i="9"/>
  <c r="B31" i="9"/>
  <c r="B30" i="9"/>
  <c r="B29" i="9"/>
  <c r="B28" i="9"/>
  <c r="B27" i="9"/>
  <c r="B26" i="9"/>
  <c r="B25" i="9"/>
  <c r="B24" i="9"/>
  <c r="B23" i="9"/>
  <c r="B22" i="9"/>
  <c r="B21" i="9"/>
  <c r="B20" i="9"/>
  <c r="B19" i="9"/>
  <c r="B18" i="9"/>
  <c r="B17" i="9"/>
  <c r="B16" i="9"/>
  <c r="B15" i="9"/>
  <c r="B14" i="9"/>
  <c r="B13" i="9"/>
  <c r="B12" i="9"/>
  <c r="K10" i="9"/>
  <c r="W10" i="9"/>
  <c r="K11" i="9"/>
  <c r="W11" i="9"/>
  <c r="K12" i="9"/>
  <c r="W12" i="9"/>
  <c r="K13" i="9"/>
  <c r="W13" i="9"/>
  <c r="K14" i="9"/>
  <c r="W14" i="9"/>
  <c r="K15" i="9"/>
  <c r="W15" i="9"/>
  <c r="K16" i="9"/>
  <c r="W16" i="9"/>
  <c r="K17" i="9"/>
  <c r="K18" i="9"/>
  <c r="W18" i="9"/>
  <c r="K19" i="9"/>
  <c r="W19" i="9"/>
  <c r="K20" i="9"/>
  <c r="W20" i="9"/>
  <c r="K21" i="9"/>
  <c r="K22" i="9"/>
  <c r="W22" i="9"/>
  <c r="K23" i="9"/>
  <c r="W23" i="9"/>
  <c r="K24" i="9"/>
  <c r="K25" i="9"/>
  <c r="W25" i="9"/>
  <c r="K26" i="9"/>
  <c r="W26" i="9"/>
  <c r="K27" i="9"/>
  <c r="W27" i="9"/>
  <c r="K28" i="9"/>
  <c r="W28" i="9"/>
  <c r="K29" i="9"/>
  <c r="W29" i="9"/>
  <c r="K30" i="9"/>
  <c r="K31" i="9"/>
  <c r="W31" i="9"/>
  <c r="K32" i="9"/>
  <c r="W32" i="9"/>
  <c r="K33" i="9"/>
  <c r="K34" i="9"/>
  <c r="W34" i="9"/>
  <c r="K35" i="9"/>
  <c r="W35" i="9"/>
  <c r="K36" i="9"/>
  <c r="W36" i="9"/>
  <c r="K37" i="9"/>
  <c r="W37" i="9"/>
  <c r="K38" i="9"/>
  <c r="W38" i="9"/>
  <c r="K39" i="9"/>
  <c r="W39" i="9"/>
  <c r="K40" i="9"/>
  <c r="W40" i="9"/>
  <c r="K41" i="9"/>
  <c r="K42" i="9"/>
  <c r="W42" i="9"/>
  <c r="BG22" i="9"/>
  <c r="BG23" i="9"/>
  <c r="BG24" i="9"/>
  <c r="BG27" i="9"/>
  <c r="BG28" i="9"/>
  <c r="BG29" i="9"/>
  <c r="BG31" i="9"/>
  <c r="AF13" i="9"/>
  <c r="AF14" i="9"/>
  <c r="AF15" i="9"/>
  <c r="L7" i="9"/>
  <c r="BJ22" i="9"/>
  <c r="BJ23" i="9"/>
  <c r="BJ24" i="9"/>
  <c r="BJ27" i="9"/>
  <c r="BJ28" i="9"/>
  <c r="BJ29" i="9"/>
  <c r="BI22" i="9"/>
  <c r="BI23" i="9"/>
  <c r="BI24" i="9"/>
  <c r="BI27" i="9"/>
  <c r="BI28" i="9"/>
  <c r="BI29" i="9"/>
  <c r="BH22" i="9"/>
  <c r="BH23" i="9"/>
  <c r="BH24" i="9"/>
  <c r="BH31" i="9"/>
  <c r="BH27" i="9"/>
  <c r="BH28" i="9"/>
  <c r="BH29" i="9"/>
  <c r="W33" i="9"/>
  <c r="W17" i="9"/>
  <c r="AZ5" i="9"/>
  <c r="AZ12" i="9"/>
  <c r="AZ13" i="9"/>
  <c r="AZ14" i="9"/>
  <c r="AS26" i="9"/>
  <c r="AS39" i="9"/>
  <c r="AS31" i="9"/>
  <c r="AS32" i="9"/>
  <c r="AS33" i="9"/>
  <c r="AL13" i="9"/>
  <c r="AL14" i="9"/>
  <c r="AL15" i="9"/>
  <c r="AV26" i="9"/>
  <c r="AV27" i="9"/>
  <c r="AV28" i="9"/>
  <c r="AV35" i="9"/>
  <c r="AV31" i="9"/>
  <c r="AV32" i="9"/>
  <c r="AV33" i="9"/>
  <c r="AU26" i="9"/>
  <c r="AU27" i="9"/>
  <c r="AU28" i="9"/>
  <c r="AU31" i="9"/>
  <c r="AU32" i="9"/>
  <c r="AU33" i="9"/>
  <c r="AT26" i="9"/>
  <c r="AT27" i="9"/>
  <c r="AT28" i="9"/>
  <c r="AT31" i="9"/>
  <c r="AT32" i="9"/>
  <c r="AT33" i="9"/>
  <c r="AJ25" i="9"/>
  <c r="AJ24" i="9"/>
  <c r="AJ23" i="9"/>
  <c r="AJ22" i="9"/>
  <c r="AD25" i="9"/>
  <c r="AD24" i="9"/>
  <c r="AD23" i="9"/>
  <c r="AD22" i="9"/>
  <c r="W41" i="9"/>
  <c r="W30" i="9"/>
  <c r="W24" i="9"/>
  <c r="AS27" i="9"/>
  <c r="AS28" i="9"/>
  <c r="K15" i="14"/>
  <c r="K17" i="14"/>
  <c r="K18" i="14"/>
  <c r="K14" i="14"/>
  <c r="L13" i="14"/>
  <c r="W21" i="9"/>
  <c r="K21" i="14"/>
  <c r="K22" i="14"/>
  <c r="L12" i="14"/>
  <c r="L21" i="14"/>
  <c r="AU35" i="9"/>
  <c r="AS35" i="9"/>
  <c r="BJ31" i="9"/>
  <c r="AT35" i="9"/>
  <c r="BI31" i="9"/>
  <c r="Q25" i="14"/>
  <c r="L22" i="14"/>
  <c r="K29" i="14"/>
  <c r="K31" i="14"/>
  <c r="K33" i="14"/>
  <c r="AP69" i="16" l="1"/>
  <c r="AQ69" i="16" s="1"/>
  <c r="AG25" i="12"/>
  <c r="U10" i="12" s="1"/>
  <c r="W13" i="12"/>
  <c r="W10" i="12" s="1"/>
  <c r="W9" i="12"/>
  <c r="AX38" i="12"/>
  <c r="AX31" i="12"/>
  <c r="AX32" i="12"/>
  <c r="AX40" i="12"/>
  <c r="AX48" i="12"/>
  <c r="AX56" i="12"/>
  <c r="AX64" i="12"/>
  <c r="AX72" i="12"/>
  <c r="AX30" i="12"/>
  <c r="AY30" i="12" s="1"/>
  <c r="AU38" i="12"/>
  <c r="AU46" i="12"/>
  <c r="AU54" i="12"/>
  <c r="AU62" i="12"/>
  <c r="AU70" i="12"/>
  <c r="AU78" i="12"/>
  <c r="AX35" i="12"/>
  <c r="AX43" i="12"/>
  <c r="AX51" i="12"/>
  <c r="AX67" i="12"/>
  <c r="AX75" i="12"/>
  <c r="AU41" i="12"/>
  <c r="AU57" i="12"/>
  <c r="AU59" i="12"/>
  <c r="AX62" i="12"/>
  <c r="AU60" i="12"/>
  <c r="AX63" i="12"/>
  <c r="AX79" i="12"/>
  <c r="AU45" i="12"/>
  <c r="AU61" i="12"/>
  <c r="AU77" i="12"/>
  <c r="AX33" i="12"/>
  <c r="AX41" i="12"/>
  <c r="AX49" i="12"/>
  <c r="AX57" i="12"/>
  <c r="AX65" i="12"/>
  <c r="AX73" i="12"/>
  <c r="AU31" i="12"/>
  <c r="AU39" i="12"/>
  <c r="AU47" i="12"/>
  <c r="AU55" i="12"/>
  <c r="AU63" i="12"/>
  <c r="AU71" i="12"/>
  <c r="AU79" i="12"/>
  <c r="AX59" i="12"/>
  <c r="AU33" i="12"/>
  <c r="AU49" i="12"/>
  <c r="AU65" i="12"/>
  <c r="AU73" i="12"/>
  <c r="AX54" i="12"/>
  <c r="AX34" i="12"/>
  <c r="AX42" i="12"/>
  <c r="AX50" i="12"/>
  <c r="AX58" i="12"/>
  <c r="AX66" i="12"/>
  <c r="AX74" i="12"/>
  <c r="AU32" i="12"/>
  <c r="AU40" i="12"/>
  <c r="AU48" i="12"/>
  <c r="AU56" i="12"/>
  <c r="AU64" i="12"/>
  <c r="AU72" i="12"/>
  <c r="AU30" i="12"/>
  <c r="AV30" i="12" s="1"/>
  <c r="AX36" i="12"/>
  <c r="AX44" i="12"/>
  <c r="AX52" i="12"/>
  <c r="AX60" i="12"/>
  <c r="AX68" i="12"/>
  <c r="AX76" i="12"/>
  <c r="AU34" i="12"/>
  <c r="AU42" i="12"/>
  <c r="AU50" i="12"/>
  <c r="AU58" i="12"/>
  <c r="AU66" i="12"/>
  <c r="AU74" i="12"/>
  <c r="AX37" i="12"/>
  <c r="AX45" i="12"/>
  <c r="AX53" i="12"/>
  <c r="AX61" i="12"/>
  <c r="AX69" i="12"/>
  <c r="AX77" i="12"/>
  <c r="AU35" i="12"/>
  <c r="AU43" i="12"/>
  <c r="AU51" i="12"/>
  <c r="AU67" i="12"/>
  <c r="AU75" i="12"/>
  <c r="AX46" i="12"/>
  <c r="AX70" i="12"/>
  <c r="AX78" i="12"/>
  <c r="AU36" i="12"/>
  <c r="AU44" i="12"/>
  <c r="AU52" i="12"/>
  <c r="AU68" i="12"/>
  <c r="AU76" i="12"/>
  <c r="AX39" i="12"/>
  <c r="AX47" i="12"/>
  <c r="AX55" i="12"/>
  <c r="AX71" i="12"/>
  <c r="AU37" i="12"/>
  <c r="AU53" i="12"/>
  <c r="AU69" i="12"/>
  <c r="R23" i="13"/>
  <c r="G23" i="13" s="1"/>
  <c r="Q23" i="13"/>
  <c r="F23" i="13" s="1"/>
  <c r="AX71" i="16"/>
  <c r="AY70" i="16"/>
  <c r="AM70" i="16"/>
  <c r="AN70" i="16" s="1"/>
  <c r="AU71" i="16"/>
  <c r="AV70" i="16"/>
  <c r="BA58" i="13"/>
  <c r="BB58" i="13" s="1"/>
  <c r="BD58" i="13"/>
  <c r="BE58" i="13" s="1"/>
  <c r="AV58" i="13"/>
  <c r="AW58" i="13" s="1"/>
  <c r="AS58" i="13"/>
  <c r="AT58" i="13" s="1"/>
  <c r="AN57" i="13"/>
  <c r="AO57" i="13" s="1"/>
  <c r="AK57" i="13"/>
  <c r="AL57" i="13" s="1"/>
  <c r="AF25" i="12"/>
  <c r="U9" i="12" s="1"/>
  <c r="AH25" i="12"/>
  <c r="U11" i="12" s="1"/>
  <c r="D19" i="12"/>
  <c r="S8" i="12"/>
  <c r="I10" i="12" s="1"/>
  <c r="T118" i="15"/>
  <c r="T82" i="15"/>
  <c r="O107" i="12" s="1"/>
  <c r="T91" i="15"/>
  <c r="O116" i="12" s="1"/>
  <c r="T66" i="15"/>
  <c r="O91" i="12" s="1"/>
  <c r="T56" i="15"/>
  <c r="O81" i="12" s="1"/>
  <c r="T39" i="15"/>
  <c r="O64" i="12" s="1"/>
  <c r="T120" i="15"/>
  <c r="T17" i="15"/>
  <c r="O42" i="12" s="1"/>
  <c r="T119" i="15"/>
  <c r="T113" i="15"/>
  <c r="O138" i="12" s="1"/>
  <c r="T4" i="15"/>
  <c r="O29" i="12" s="1"/>
  <c r="T74" i="15"/>
  <c r="O99" i="12" s="1"/>
  <c r="P52" i="12"/>
  <c r="T27" i="15"/>
  <c r="O52" i="12" s="1"/>
  <c r="T112" i="15"/>
  <c r="O137" i="12" s="1"/>
  <c r="T105" i="15"/>
  <c r="O130" i="12" s="1"/>
  <c r="T97" i="15"/>
  <c r="O122" i="12" s="1"/>
  <c r="T89" i="15"/>
  <c r="O114" i="12" s="1"/>
  <c r="T81" i="15"/>
  <c r="O106" i="12" s="1"/>
  <c r="T73" i="15"/>
  <c r="O98" i="12" s="1"/>
  <c r="T65" i="15"/>
  <c r="O90" i="12" s="1"/>
  <c r="T55" i="15"/>
  <c r="O80" i="12" s="1"/>
  <c r="T37" i="15"/>
  <c r="O62" i="12" s="1"/>
  <c r="T15" i="15"/>
  <c r="O40" i="12" s="1"/>
  <c r="T54" i="15"/>
  <c r="O79" i="12" s="1"/>
  <c r="P79" i="12"/>
  <c r="T14" i="15"/>
  <c r="O39" i="12" s="1"/>
  <c r="P39" i="12"/>
  <c r="P31" i="12"/>
  <c r="T6" i="15"/>
  <c r="O31" i="12" s="1"/>
  <c r="P49" i="12"/>
  <c r="T24" i="15"/>
  <c r="O49" i="12" s="1"/>
  <c r="P55" i="12"/>
  <c r="T30" i="15"/>
  <c r="O55" i="12" s="1"/>
  <c r="T38" i="15"/>
  <c r="O63" i="12" s="1"/>
  <c r="P63" i="12"/>
  <c r="P71" i="12"/>
  <c r="T46" i="15"/>
  <c r="O71" i="12" s="1"/>
  <c r="T111" i="15"/>
  <c r="O136" i="12" s="1"/>
  <c r="T104" i="15"/>
  <c r="O129" i="12" s="1"/>
  <c r="T96" i="15"/>
  <c r="O121" i="12" s="1"/>
  <c r="T88" i="15"/>
  <c r="O113" i="12" s="1"/>
  <c r="T80" i="15"/>
  <c r="O105" i="12" s="1"/>
  <c r="T72" i="15"/>
  <c r="O97" i="12" s="1"/>
  <c r="T64" i="15"/>
  <c r="O89" i="12" s="1"/>
  <c r="T53" i="15"/>
  <c r="O78" i="12" s="1"/>
  <c r="T33" i="15"/>
  <c r="O58" i="12" s="1"/>
  <c r="T13" i="15"/>
  <c r="O38" i="12" s="1"/>
  <c r="P116" i="12"/>
  <c r="P73" i="12"/>
  <c r="T48" i="15"/>
  <c r="O73" i="12" s="1"/>
  <c r="P59" i="12"/>
  <c r="T34" i="15"/>
  <c r="O59" i="12" s="1"/>
  <c r="P60" i="12"/>
  <c r="T35" i="15"/>
  <c r="O60" i="12" s="1"/>
  <c r="P68" i="12"/>
  <c r="T43" i="15"/>
  <c r="O68" i="12" s="1"/>
  <c r="T110" i="15"/>
  <c r="O135" i="12" s="1"/>
  <c r="T103" i="15"/>
  <c r="O128" i="12" s="1"/>
  <c r="T95" i="15"/>
  <c r="O120" i="12" s="1"/>
  <c r="T87" i="15"/>
  <c r="O112" i="12" s="1"/>
  <c r="T79" i="15"/>
  <c r="O104" i="12" s="1"/>
  <c r="T71" i="15"/>
  <c r="O96" i="12" s="1"/>
  <c r="T63" i="15"/>
  <c r="O88" i="12" s="1"/>
  <c r="T51" i="15"/>
  <c r="O76" i="12" s="1"/>
  <c r="T31" i="15"/>
  <c r="O56" i="12" s="1"/>
  <c r="T9" i="15"/>
  <c r="O34" i="12" s="1"/>
  <c r="P33" i="12"/>
  <c r="T8" i="15"/>
  <c r="O33" i="12" s="1"/>
  <c r="P45" i="12"/>
  <c r="T20" i="15"/>
  <c r="O45" i="12" s="1"/>
  <c r="P53" i="12"/>
  <c r="T28" i="15"/>
  <c r="O53" i="12" s="1"/>
  <c r="T98" i="15"/>
  <c r="O123" i="12" s="1"/>
  <c r="T90" i="15"/>
  <c r="O115" i="12" s="1"/>
  <c r="P37" i="12"/>
  <c r="T12" i="15"/>
  <c r="O37" i="12" s="1"/>
  <c r="P41" i="12"/>
  <c r="T16" i="15"/>
  <c r="O41" i="12" s="1"/>
  <c r="P47" i="12"/>
  <c r="T22" i="15"/>
  <c r="O47" i="12" s="1"/>
  <c r="P67" i="12"/>
  <c r="T42" i="15"/>
  <c r="O67" i="12" s="1"/>
  <c r="P77" i="12"/>
  <c r="T52" i="15"/>
  <c r="O77" i="12" s="1"/>
  <c r="P83" i="12"/>
  <c r="T58" i="15"/>
  <c r="O83" i="12" s="1"/>
  <c r="T117" i="15"/>
  <c r="O142" i="12" s="1"/>
  <c r="T109" i="15"/>
  <c r="O134" i="12" s="1"/>
  <c r="T102" i="15"/>
  <c r="O127" i="12" s="1"/>
  <c r="T94" i="15"/>
  <c r="O119" i="12" s="1"/>
  <c r="T86" i="15"/>
  <c r="O111" i="12" s="1"/>
  <c r="T78" i="15"/>
  <c r="O103" i="12" s="1"/>
  <c r="T70" i="15"/>
  <c r="O95" i="12" s="1"/>
  <c r="T62" i="15"/>
  <c r="O87" i="12" s="1"/>
  <c r="T47" i="15"/>
  <c r="O72" i="12" s="1"/>
  <c r="T29" i="15"/>
  <c r="O54" i="12" s="1"/>
  <c r="T7" i="15"/>
  <c r="O32" i="12" s="1"/>
  <c r="P36" i="12"/>
  <c r="T11" i="15"/>
  <c r="O36" i="12" s="1"/>
  <c r="P44" i="12"/>
  <c r="T19" i="15"/>
  <c r="O44" i="12" s="1"/>
  <c r="P57" i="12"/>
  <c r="T32" i="15"/>
  <c r="O57" i="12" s="1"/>
  <c r="P61" i="12"/>
  <c r="T36" i="15"/>
  <c r="O61" i="12" s="1"/>
  <c r="P66" i="12"/>
  <c r="T41" i="15"/>
  <c r="O66" i="12" s="1"/>
  <c r="P82" i="12"/>
  <c r="T57" i="15"/>
  <c r="O82" i="12" s="1"/>
  <c r="T116" i="15"/>
  <c r="O141" i="12" s="1"/>
  <c r="T108" i="15"/>
  <c r="O133" i="12" s="1"/>
  <c r="T101" i="15"/>
  <c r="O126" i="12" s="1"/>
  <c r="T93" i="15"/>
  <c r="O118" i="12" s="1"/>
  <c r="T85" i="15"/>
  <c r="O110" i="12" s="1"/>
  <c r="T77" i="15"/>
  <c r="O102" i="12" s="1"/>
  <c r="T69" i="15"/>
  <c r="O94" i="12" s="1"/>
  <c r="T61" i="15"/>
  <c r="O86" i="12" s="1"/>
  <c r="T45" i="15"/>
  <c r="O70" i="12" s="1"/>
  <c r="T25" i="15"/>
  <c r="O50" i="12" s="1"/>
  <c r="T5" i="15"/>
  <c r="O30" i="12" s="1"/>
  <c r="P35" i="12"/>
  <c r="T10" i="15"/>
  <c r="O35" i="12" s="1"/>
  <c r="P43" i="12"/>
  <c r="T18" i="15"/>
  <c r="O43" i="12" s="1"/>
  <c r="P51" i="12"/>
  <c r="T26" i="15"/>
  <c r="O51" i="12" s="1"/>
  <c r="P75" i="12"/>
  <c r="T50" i="15"/>
  <c r="O75" i="12" s="1"/>
  <c r="T115" i="15"/>
  <c r="O140" i="12" s="1"/>
  <c r="T107" i="15"/>
  <c r="O132" i="12" s="1"/>
  <c r="T100" i="15"/>
  <c r="O125" i="12" s="1"/>
  <c r="T92" i="15"/>
  <c r="O117" i="12" s="1"/>
  <c r="T84" i="15"/>
  <c r="O109" i="12" s="1"/>
  <c r="T76" i="15"/>
  <c r="O101" i="12" s="1"/>
  <c r="T68" i="15"/>
  <c r="O93" i="12" s="1"/>
  <c r="T60" i="15"/>
  <c r="O85" i="12" s="1"/>
  <c r="T44" i="15"/>
  <c r="O69" i="12" s="1"/>
  <c r="T23" i="15"/>
  <c r="O48" i="12" s="1"/>
  <c r="P74" i="12"/>
  <c r="T49" i="15"/>
  <c r="O74" i="12" s="1"/>
  <c r="T114" i="15"/>
  <c r="O139" i="12" s="1"/>
  <c r="T106" i="15"/>
  <c r="O131" i="12" s="1"/>
  <c r="T99" i="15"/>
  <c r="O124" i="12" s="1"/>
  <c r="T83" i="15"/>
  <c r="O108" i="12" s="1"/>
  <c r="T75" i="15"/>
  <c r="O100" i="12" s="1"/>
  <c r="T67" i="15"/>
  <c r="O92" i="12" s="1"/>
  <c r="T59" i="15"/>
  <c r="O84" i="12" s="1"/>
  <c r="T40" i="15"/>
  <c r="O65" i="12" s="1"/>
  <c r="T21" i="15"/>
  <c r="O46" i="12" s="1"/>
  <c r="R21" i="13"/>
  <c r="Q21" i="13"/>
  <c r="I46" i="12"/>
  <c r="K46" i="12" s="1"/>
  <c r="Y4" i="9"/>
  <c r="E31" i="13"/>
  <c r="I35" i="12"/>
  <c r="D31" i="13"/>
  <c r="P13" i="11"/>
  <c r="AP70" i="16" l="1"/>
  <c r="AQ70" i="16" s="1"/>
  <c r="AB25" i="12"/>
  <c r="AD9" i="12" s="1"/>
  <c r="I31" i="12"/>
  <c r="J31" i="12" s="1"/>
  <c r="AW30" i="12"/>
  <c r="AV31" i="12"/>
  <c r="AZ30" i="12"/>
  <c r="AY31" i="12"/>
  <c r="G22" i="13"/>
  <c r="F22" i="13"/>
  <c r="I34" i="12"/>
  <c r="J34" i="12" s="1"/>
  <c r="R27" i="13"/>
  <c r="R25" i="13" s="1"/>
  <c r="G25" i="13" s="1"/>
  <c r="R24" i="13"/>
  <c r="G24" i="13" s="1"/>
  <c r="Q27" i="13"/>
  <c r="Q25" i="13" s="1"/>
  <c r="F25" i="13" s="1"/>
  <c r="Q24" i="13"/>
  <c r="F24" i="13" s="1"/>
  <c r="AU72" i="16"/>
  <c r="AV71" i="16"/>
  <c r="AM71" i="16"/>
  <c r="AN71" i="16" s="1"/>
  <c r="AY71" i="16"/>
  <c r="AX72" i="16"/>
  <c r="BA59" i="13"/>
  <c r="BB59" i="13" s="1"/>
  <c r="BD59" i="13"/>
  <c r="BE59" i="13" s="1"/>
  <c r="AS59" i="13"/>
  <c r="AT59" i="13" s="1"/>
  <c r="AV59" i="13"/>
  <c r="AW59" i="13" s="1"/>
  <c r="AK58" i="13"/>
  <c r="AL58" i="13" s="1"/>
  <c r="AN58" i="13"/>
  <c r="AO58" i="13" s="1"/>
  <c r="U25" i="12"/>
  <c r="Q12" i="12" s="1"/>
  <c r="Q25" i="12"/>
  <c r="V25" i="12"/>
  <c r="R25" i="12"/>
  <c r="Q8" i="12" s="1"/>
  <c r="W25" i="12"/>
  <c r="X25" i="12"/>
  <c r="Y25" i="12"/>
  <c r="Z25" i="12"/>
  <c r="Q14" i="12" s="1"/>
  <c r="S25" i="12"/>
  <c r="Q10" i="12" s="1"/>
  <c r="AA25" i="12"/>
  <c r="AD23" i="12" s="1"/>
  <c r="D20" i="12" s="1"/>
  <c r="T25" i="12"/>
  <c r="Q11" i="12" s="1"/>
  <c r="F31" i="13"/>
  <c r="C11" i="9"/>
  <c r="C15" i="9"/>
  <c r="C19" i="9"/>
  <c r="C23" i="9"/>
  <c r="C27" i="9"/>
  <c r="C31" i="9"/>
  <c r="C35" i="9"/>
  <c r="C39" i="9"/>
  <c r="D38" i="9"/>
  <c r="D11" i="9"/>
  <c r="D15" i="9"/>
  <c r="D19" i="9"/>
  <c r="D23" i="9"/>
  <c r="D27" i="9"/>
  <c r="D31" i="9"/>
  <c r="D35" i="9"/>
  <c r="D39" i="9"/>
  <c r="D22" i="9"/>
  <c r="C12" i="9"/>
  <c r="C16" i="9"/>
  <c r="C20" i="9"/>
  <c r="C24" i="9"/>
  <c r="C28" i="9"/>
  <c r="C32" i="9"/>
  <c r="C36" i="9"/>
  <c r="C40" i="9"/>
  <c r="D26" i="9"/>
  <c r="D12" i="9"/>
  <c r="D16" i="9"/>
  <c r="D20" i="9"/>
  <c r="D24" i="9"/>
  <c r="D28" i="9"/>
  <c r="D32" i="9"/>
  <c r="D36" i="9"/>
  <c r="D40" i="9"/>
  <c r="D34" i="9"/>
  <c r="D42" i="9"/>
  <c r="C13" i="9"/>
  <c r="C17" i="9"/>
  <c r="C21" i="9"/>
  <c r="C25" i="9"/>
  <c r="C29" i="9"/>
  <c r="C33" i="9"/>
  <c r="C37" i="9"/>
  <c r="C41" i="9"/>
  <c r="D18" i="9"/>
  <c r="D13" i="9"/>
  <c r="D17" i="9"/>
  <c r="D21" i="9"/>
  <c r="D25" i="9"/>
  <c r="D29" i="9"/>
  <c r="D33" i="9"/>
  <c r="D37" i="9"/>
  <c r="D41" i="9"/>
  <c r="D30" i="9"/>
  <c r="C14" i="9"/>
  <c r="C18" i="9"/>
  <c r="C22" i="9"/>
  <c r="C26" i="9"/>
  <c r="C30" i="9"/>
  <c r="C34" i="9"/>
  <c r="C38" i="9"/>
  <c r="C42" i="9"/>
  <c r="D14" i="9"/>
  <c r="C10" i="9"/>
  <c r="D10" i="9"/>
  <c r="AA6" i="9"/>
  <c r="AA7" i="9"/>
  <c r="J35" i="12"/>
  <c r="J45" i="12" s="1"/>
  <c r="I45" i="12"/>
  <c r="K45" i="12" s="1"/>
  <c r="AP71" i="16" l="1"/>
  <c r="AQ71" i="16" s="1"/>
  <c r="AZ31" i="12"/>
  <c r="AY32" i="12"/>
  <c r="AW31" i="12"/>
  <c r="AV32" i="12"/>
  <c r="F35" i="13"/>
  <c r="L35" i="13" s="1"/>
  <c r="K33" i="13"/>
  <c r="L32" i="13"/>
  <c r="K32" i="13"/>
  <c r="E34" i="13"/>
  <c r="E37" i="13" s="1"/>
  <c r="P27" i="13"/>
  <c r="P25" i="13" s="1"/>
  <c r="E25" i="13" s="1"/>
  <c r="F36" i="13"/>
  <c r="K36" i="13" s="1"/>
  <c r="L33" i="13"/>
  <c r="D34" i="13"/>
  <c r="D37" i="13" s="1"/>
  <c r="AX73" i="16"/>
  <c r="AY72" i="16"/>
  <c r="AP72" i="16"/>
  <c r="AQ72" i="16" s="1"/>
  <c r="AM72" i="16"/>
  <c r="AN72" i="16" s="1"/>
  <c r="AU73" i="16"/>
  <c r="AV72" i="16"/>
  <c r="BA60" i="13"/>
  <c r="BB60" i="13" s="1"/>
  <c r="L31" i="13"/>
  <c r="K31" i="13"/>
  <c r="AH9" i="12"/>
  <c r="AE9" i="12"/>
  <c r="AF9" i="12"/>
  <c r="AG9" i="12"/>
  <c r="BD60" i="13"/>
  <c r="BE60" i="13" s="1"/>
  <c r="AV60" i="13"/>
  <c r="AW60" i="13" s="1"/>
  <c r="AS60" i="13"/>
  <c r="AT60" i="13" s="1"/>
  <c r="AN59" i="13"/>
  <c r="AO59" i="13" s="1"/>
  <c r="AK59" i="13"/>
  <c r="AL59" i="13" s="1"/>
  <c r="Q13" i="12"/>
  <c r="G33" i="13"/>
  <c r="G31" i="13"/>
  <c r="G32" i="13"/>
  <c r="T19" i="9"/>
  <c r="L11" i="9"/>
  <c r="M11" i="9" s="1"/>
  <c r="L19" i="9"/>
  <c r="M19" i="9" s="1"/>
  <c r="L27" i="9"/>
  <c r="M27" i="9" s="1"/>
  <c r="L35" i="9"/>
  <c r="M35" i="9" s="1"/>
  <c r="L12" i="9"/>
  <c r="M12" i="9" s="1"/>
  <c r="L36" i="9"/>
  <c r="M36" i="9" s="1"/>
  <c r="L14" i="9"/>
  <c r="M14" i="9" s="1"/>
  <c r="L22" i="9"/>
  <c r="M22" i="9" s="1"/>
  <c r="L30" i="9"/>
  <c r="M30" i="9" s="1"/>
  <c r="L38" i="9"/>
  <c r="M38" i="9" s="1"/>
  <c r="L34" i="9"/>
  <c r="M34" i="9" s="1"/>
  <c r="L29" i="9"/>
  <c r="M29" i="9" s="1"/>
  <c r="L15" i="9"/>
  <c r="M15" i="9" s="1"/>
  <c r="L23" i="9"/>
  <c r="M23" i="9" s="1"/>
  <c r="L31" i="9"/>
  <c r="M31" i="9" s="1"/>
  <c r="L39" i="9"/>
  <c r="M39" i="9" s="1"/>
  <c r="L42" i="9"/>
  <c r="M42" i="9" s="1"/>
  <c r="L16" i="9"/>
  <c r="M16" i="9" s="1"/>
  <c r="L24" i="9"/>
  <c r="M24" i="9" s="1"/>
  <c r="L32" i="9"/>
  <c r="M32" i="9" s="1"/>
  <c r="L40" i="9"/>
  <c r="M40" i="9" s="1"/>
  <c r="L26" i="9"/>
  <c r="M26" i="9" s="1"/>
  <c r="L20" i="9"/>
  <c r="M20" i="9" s="1"/>
  <c r="L13" i="9"/>
  <c r="M13" i="9" s="1"/>
  <c r="L17" i="9"/>
  <c r="M17" i="9" s="1"/>
  <c r="L25" i="9"/>
  <c r="M25" i="9" s="1"/>
  <c r="L33" i="9"/>
  <c r="M33" i="9" s="1"/>
  <c r="L41" i="9"/>
  <c r="M41" i="9" s="1"/>
  <c r="L18" i="9"/>
  <c r="M18" i="9" s="1"/>
  <c r="L28" i="9"/>
  <c r="M28" i="9" s="1"/>
  <c r="L21" i="9"/>
  <c r="M21" i="9" s="1"/>
  <c r="L37" i="9"/>
  <c r="M37" i="9" s="1"/>
  <c r="X10" i="9"/>
  <c r="Y10" i="9" s="1"/>
  <c r="L10" i="9"/>
  <c r="X30" i="9"/>
  <c r="Y30" i="9" s="1"/>
  <c r="X13" i="9"/>
  <c r="Y13" i="9" s="1"/>
  <c r="X24" i="9"/>
  <c r="Y24" i="9" s="1"/>
  <c r="X31" i="9"/>
  <c r="Y31" i="9" s="1"/>
  <c r="X14" i="9"/>
  <c r="Y14" i="9" s="1"/>
  <c r="X35" i="9"/>
  <c r="Y35" i="9" s="1"/>
  <c r="X41" i="9"/>
  <c r="Y41" i="9" s="1"/>
  <c r="X18" i="9"/>
  <c r="Y18" i="9" s="1"/>
  <c r="X20" i="9"/>
  <c r="Y20" i="9" s="1"/>
  <c r="X27" i="9"/>
  <c r="Y27" i="9" s="1"/>
  <c r="X28" i="9"/>
  <c r="Y28" i="9" s="1"/>
  <c r="X37" i="9"/>
  <c r="Y37" i="9" s="1"/>
  <c r="X42" i="9"/>
  <c r="Y42" i="9" s="1"/>
  <c r="X16" i="9"/>
  <c r="Y16" i="9" s="1"/>
  <c r="X23" i="9"/>
  <c r="Y23" i="9" s="1"/>
  <c r="X33" i="9"/>
  <c r="Y33" i="9" s="1"/>
  <c r="X34" i="9"/>
  <c r="Y34" i="9" s="1"/>
  <c r="X12" i="9"/>
  <c r="Y12" i="9" s="1"/>
  <c r="X19" i="9"/>
  <c r="Y19" i="9" s="1"/>
  <c r="X29" i="9"/>
  <c r="Y29" i="9" s="1"/>
  <c r="X40" i="9"/>
  <c r="Y40" i="9" s="1"/>
  <c r="X26" i="9"/>
  <c r="Y26" i="9" s="1"/>
  <c r="X15" i="9"/>
  <c r="Y15" i="9" s="1"/>
  <c r="X17" i="9"/>
  <c r="Y17" i="9" s="1"/>
  <c r="X25" i="9"/>
  <c r="Y25" i="9" s="1"/>
  <c r="X36" i="9"/>
  <c r="Y36" i="9" s="1"/>
  <c r="X22" i="9"/>
  <c r="Y22" i="9" s="1"/>
  <c r="X11" i="9"/>
  <c r="Y11" i="9" s="1"/>
  <c r="X21" i="9"/>
  <c r="Y21" i="9" s="1"/>
  <c r="X32" i="9"/>
  <c r="Y32" i="9" s="1"/>
  <c r="X39" i="9"/>
  <c r="Y39" i="9" s="1"/>
  <c r="X38" i="9"/>
  <c r="Y38" i="9" s="1"/>
  <c r="G35" i="13" l="1"/>
  <c r="K35" i="13"/>
  <c r="M35" i="13" s="1"/>
  <c r="AW32" i="12"/>
  <c r="AV33" i="12"/>
  <c r="AZ32" i="12"/>
  <c r="AY33" i="12"/>
  <c r="F34" i="13"/>
  <c r="M33" i="13"/>
  <c r="M32" i="13"/>
  <c r="L36" i="13"/>
  <c r="M36" i="13" s="1"/>
  <c r="G36" i="13"/>
  <c r="AU74" i="16"/>
  <c r="AV73" i="16"/>
  <c r="AM73" i="16"/>
  <c r="AN73" i="16" s="1"/>
  <c r="AP73" i="16"/>
  <c r="AQ73" i="16" s="1"/>
  <c r="AX74" i="16"/>
  <c r="AY73" i="16"/>
  <c r="BA61" i="13"/>
  <c r="BB61" i="13" s="1"/>
  <c r="S12" i="12"/>
  <c r="S10" i="12" s="1"/>
  <c r="I12" i="12" s="1"/>
  <c r="M31" i="13"/>
  <c r="AP79" i="12"/>
  <c r="AP55" i="12"/>
  <c r="AP58" i="12"/>
  <c r="AM40" i="12"/>
  <c r="AM70" i="12"/>
  <c r="AP73" i="12"/>
  <c r="AM62" i="12"/>
  <c r="AP77" i="12"/>
  <c r="AP53" i="12"/>
  <c r="AM63" i="12"/>
  <c r="AM58" i="12"/>
  <c r="AM68" i="12"/>
  <c r="AM30" i="12"/>
  <c r="AN30" i="12" s="1"/>
  <c r="S9" i="12"/>
  <c r="I11" i="12" s="1"/>
  <c r="AP64" i="12"/>
  <c r="AP59" i="12"/>
  <c r="AM79" i="12"/>
  <c r="AM44" i="12"/>
  <c r="AM53" i="12"/>
  <c r="AP40" i="12"/>
  <c r="AM41" i="12"/>
  <c r="AP62" i="12"/>
  <c r="AP57" i="12"/>
  <c r="AM67" i="12"/>
  <c r="AP33" i="12"/>
  <c r="AM51" i="12"/>
  <c r="AM36" i="12"/>
  <c r="AP68" i="12"/>
  <c r="AP36" i="12"/>
  <c r="AM47" i="12"/>
  <c r="AM48" i="12"/>
  <c r="AP34" i="12"/>
  <c r="AP44" i="12"/>
  <c r="AM49" i="12"/>
  <c r="AP66" i="12"/>
  <c r="AP32" i="12"/>
  <c r="AM71" i="12"/>
  <c r="AP78" i="12"/>
  <c r="AM31" i="12"/>
  <c r="AP72" i="12"/>
  <c r="AM66" i="12"/>
  <c r="AP35" i="12"/>
  <c r="AM52" i="12"/>
  <c r="AM72" i="12"/>
  <c r="AP48" i="12"/>
  <c r="AP31" i="12"/>
  <c r="AP70" i="12"/>
  <c r="AP30" i="12"/>
  <c r="AQ30" i="12" s="1"/>
  <c r="AM75" i="12"/>
  <c r="AP67" i="12"/>
  <c r="AM39" i="12"/>
  <c r="AP76" i="12"/>
  <c r="AM74" i="12"/>
  <c r="AM61" i="12"/>
  <c r="AM56" i="12"/>
  <c r="AM55" i="12"/>
  <c r="AP52" i="12"/>
  <c r="AP50" i="12"/>
  <c r="AP74" i="12"/>
  <c r="AP63" i="12"/>
  <c r="AM42" i="12"/>
  <c r="AP71" i="12"/>
  <c r="AM32" i="12"/>
  <c r="AP43" i="12"/>
  <c r="AM45" i="12"/>
  <c r="AM65" i="12"/>
  <c r="AM60" i="12"/>
  <c r="AP61" i="12"/>
  <c r="AP56" i="12"/>
  <c r="AM64" i="12"/>
  <c r="AP41" i="12"/>
  <c r="AP46" i="12"/>
  <c r="AM46" i="12"/>
  <c r="AP75" i="12"/>
  <c r="AM34" i="12"/>
  <c r="AP47" i="12"/>
  <c r="AM57" i="12"/>
  <c r="AM69" i="12"/>
  <c r="AP37" i="12"/>
  <c r="AP65" i="12"/>
  <c r="AP60" i="12"/>
  <c r="AM43" i="12"/>
  <c r="AP45" i="12"/>
  <c r="AM76" i="12"/>
  <c r="AM50" i="12"/>
  <c r="AP42" i="12"/>
  <c r="AM37" i="12"/>
  <c r="AM35" i="12"/>
  <c r="AP51" i="12"/>
  <c r="AP39" i="12"/>
  <c r="AM73" i="12"/>
  <c r="AM77" i="12"/>
  <c r="AP69" i="12"/>
  <c r="AP38" i="12"/>
  <c r="AM59" i="12"/>
  <c r="AP49" i="12"/>
  <c r="AM78" i="12"/>
  <c r="AM54" i="12"/>
  <c r="AP54" i="12"/>
  <c r="AM38" i="12"/>
  <c r="AM33" i="12"/>
  <c r="BD61" i="13"/>
  <c r="BE61" i="13" s="1"/>
  <c r="AS61" i="13"/>
  <c r="AT61" i="13" s="1"/>
  <c r="AV61" i="13"/>
  <c r="AW61" i="13" s="1"/>
  <c r="AK60" i="13"/>
  <c r="AL60" i="13" s="1"/>
  <c r="AN60" i="13"/>
  <c r="AO60" i="13" s="1"/>
  <c r="L199" i="9"/>
  <c r="X354" i="9"/>
  <c r="L348" i="9"/>
  <c r="X220" i="9"/>
  <c r="U18" i="9"/>
  <c r="Q23" i="9" s="1"/>
  <c r="L253" i="9"/>
  <c r="L80" i="9"/>
  <c r="X105" i="9"/>
  <c r="L358" i="9"/>
  <c r="X286" i="9"/>
  <c r="X114" i="9"/>
  <c r="L327" i="9"/>
  <c r="L231" i="9"/>
  <c r="X129" i="9"/>
  <c r="X217" i="9"/>
  <c r="X222" i="9"/>
  <c r="X285" i="9"/>
  <c r="X365" i="9"/>
  <c r="X382" i="9"/>
  <c r="X238" i="9"/>
  <c r="L88" i="9"/>
  <c r="X216" i="9"/>
  <c r="L170" i="9"/>
  <c r="L287" i="9"/>
  <c r="L139" i="9"/>
  <c r="X120" i="9"/>
  <c r="X288" i="9"/>
  <c r="L86" i="9"/>
  <c r="X98" i="9"/>
  <c r="X357" i="9"/>
  <c r="L211" i="9"/>
  <c r="L305" i="9"/>
  <c r="X132" i="9"/>
  <c r="X85" i="9"/>
  <c r="L132" i="9"/>
  <c r="L345" i="9"/>
  <c r="X353" i="9"/>
  <c r="X179" i="9"/>
  <c r="L258" i="9"/>
  <c r="L105" i="9"/>
  <c r="X333" i="9"/>
  <c r="X328" i="9"/>
  <c r="X321" i="9"/>
  <c r="X161" i="9"/>
  <c r="X301" i="9"/>
  <c r="L273" i="9"/>
  <c r="L278" i="9"/>
  <c r="L264" i="9"/>
  <c r="L357" i="9"/>
  <c r="X284" i="9"/>
  <c r="X211" i="9"/>
  <c r="X138" i="9"/>
  <c r="L207" i="9"/>
  <c r="L100" i="9"/>
  <c r="L313" i="9"/>
  <c r="X279" i="9"/>
  <c r="L238" i="9"/>
  <c r="X298" i="9"/>
  <c r="L346" i="9"/>
  <c r="L118" i="9"/>
  <c r="X376" i="9"/>
  <c r="L375" i="9"/>
  <c r="X383" i="9"/>
  <c r="X181" i="9"/>
  <c r="X94" i="9"/>
  <c r="L248" i="9"/>
  <c r="L194" i="9"/>
  <c r="L92" i="9"/>
  <c r="L147" i="9"/>
  <c r="L383" i="9"/>
  <c r="L243" i="9"/>
  <c r="X374" i="9"/>
  <c r="X163" i="9"/>
  <c r="L363" i="9"/>
  <c r="X366" i="9"/>
  <c r="L291" i="9"/>
  <c r="X393" i="9"/>
  <c r="X258" i="9"/>
  <c r="L235" i="9"/>
  <c r="X230" i="9"/>
  <c r="L89" i="9"/>
  <c r="X87" i="9"/>
  <c r="X115" i="9"/>
  <c r="L270" i="9"/>
  <c r="X299" i="9"/>
  <c r="L397" i="9"/>
  <c r="X250" i="9"/>
  <c r="X82" i="9"/>
  <c r="L154" i="9"/>
  <c r="L106" i="9"/>
  <c r="X400" i="9"/>
  <c r="L279" i="9"/>
  <c r="L307" i="9"/>
  <c r="L387" i="9"/>
  <c r="L85" i="9"/>
  <c r="X113" i="9"/>
  <c r="X149" i="9"/>
  <c r="X339" i="9"/>
  <c r="L367" i="9"/>
  <c r="L200" i="9"/>
  <c r="X243" i="9"/>
  <c r="L196" i="9"/>
  <c r="L251" i="9"/>
  <c r="L216" i="9"/>
  <c r="X262" i="9"/>
  <c r="X92" i="9"/>
  <c r="L162" i="9"/>
  <c r="L144" i="9"/>
  <c r="L334" i="9"/>
  <c r="X308" i="9"/>
  <c r="L119" i="9"/>
  <c r="L277" i="9"/>
  <c r="L380" i="9"/>
  <c r="L366" i="9"/>
  <c r="X210" i="9"/>
  <c r="L333" i="9"/>
  <c r="X177" i="9"/>
  <c r="L394" i="9"/>
  <c r="L124" i="9"/>
  <c r="X345" i="9"/>
  <c r="L229" i="9"/>
  <c r="X122" i="9"/>
  <c r="X206" i="9"/>
  <c r="L241" i="9"/>
  <c r="X267" i="9"/>
  <c r="X88" i="9"/>
  <c r="X207" i="9"/>
  <c r="X99" i="9"/>
  <c r="L113" i="9"/>
  <c r="X255" i="9"/>
  <c r="X128" i="9"/>
  <c r="X318" i="9"/>
  <c r="X341" i="9"/>
  <c r="X146" i="9"/>
  <c r="L301" i="9"/>
  <c r="X137" i="9"/>
  <c r="L330" i="9"/>
  <c r="L369" i="9"/>
  <c r="X370" i="9"/>
  <c r="L94" i="9"/>
  <c r="X131" i="9"/>
  <c r="X125" i="9"/>
  <c r="L184" i="9"/>
  <c r="L351" i="9"/>
  <c r="L166" i="9"/>
  <c r="L326" i="9"/>
  <c r="L222" i="9"/>
  <c r="X171" i="9"/>
  <c r="L295" i="9"/>
  <c r="X254" i="9"/>
  <c r="X118" i="9"/>
  <c r="L226" i="9"/>
  <c r="L355" i="9"/>
  <c r="L381" i="9"/>
  <c r="L306" i="9"/>
  <c r="X379" i="9"/>
  <c r="X310" i="9"/>
  <c r="L276" i="9"/>
  <c r="X235" i="9"/>
  <c r="L239" i="9"/>
  <c r="X244" i="9"/>
  <c r="L155" i="9"/>
  <c r="X133" i="9"/>
  <c r="L388" i="9"/>
  <c r="L114" i="9"/>
  <c r="L168" i="9"/>
  <c r="X402" i="9"/>
  <c r="L393" i="9"/>
  <c r="X380" i="9"/>
  <c r="X281" i="9"/>
  <c r="X291" i="9"/>
  <c r="L179" i="9"/>
  <c r="L266" i="9"/>
  <c r="L293" i="9"/>
  <c r="X152" i="9"/>
  <c r="L343" i="9"/>
  <c r="X300" i="9"/>
  <c r="X187" i="9"/>
  <c r="X130" i="9"/>
  <c r="L195" i="9"/>
  <c r="X297" i="9"/>
  <c r="L167" i="9"/>
  <c r="L341" i="9"/>
  <c r="L148" i="9"/>
  <c r="L328" i="9"/>
  <c r="L177" i="9"/>
  <c r="L398" i="9"/>
  <c r="X229" i="9"/>
  <c r="X368" i="9"/>
  <c r="X221" i="9"/>
  <c r="L134" i="9"/>
  <c r="L185" i="9"/>
  <c r="L340" i="9"/>
  <c r="X270" i="9"/>
  <c r="L263" i="9"/>
  <c r="L280" i="9"/>
  <c r="L352" i="9"/>
  <c r="L338" i="9"/>
  <c r="L378" i="9"/>
  <c r="X169" i="9"/>
  <c r="X158" i="9"/>
  <c r="X155" i="9"/>
  <c r="X168" i="9"/>
  <c r="X373" i="9"/>
  <c r="X261" i="9"/>
  <c r="X263" i="9"/>
  <c r="X390" i="9"/>
  <c r="L137" i="9"/>
  <c r="X198" i="9"/>
  <c r="L230" i="9"/>
  <c r="X403" i="9"/>
  <c r="L107" i="9"/>
  <c r="L331" i="9"/>
  <c r="L245" i="9"/>
  <c r="L252" i="9"/>
  <c r="X312" i="9"/>
  <c r="L296" i="9"/>
  <c r="X145" i="9"/>
  <c r="X355" i="9"/>
  <c r="X277" i="9"/>
  <c r="X84" i="9"/>
  <c r="L197" i="9"/>
  <c r="X293" i="9"/>
  <c r="X196" i="9"/>
  <c r="L93" i="9"/>
  <c r="L288" i="9"/>
  <c r="L297" i="9"/>
  <c r="L400" i="9"/>
  <c r="X86" i="9"/>
  <c r="X287" i="9"/>
  <c r="L364" i="9"/>
  <c r="X192" i="9"/>
  <c r="L138" i="9"/>
  <c r="L192" i="9"/>
  <c r="L316" i="9"/>
  <c r="L221" i="9"/>
  <c r="X395" i="9"/>
  <c r="X294" i="9"/>
  <c r="X266" i="9"/>
  <c r="L285" i="9"/>
  <c r="X227" i="9"/>
  <c r="L90" i="9"/>
  <c r="L108" i="9"/>
  <c r="X89" i="9"/>
  <c r="X252" i="9"/>
  <c r="X233" i="9"/>
  <c r="X303" i="9"/>
  <c r="X173" i="9"/>
  <c r="L182" i="9"/>
  <c r="L344" i="9"/>
  <c r="X183" i="9"/>
  <c r="L373" i="9"/>
  <c r="L183" i="9"/>
  <c r="X180" i="9"/>
  <c r="X213" i="9"/>
  <c r="L190" i="9"/>
  <c r="L102" i="9"/>
  <c r="X126" i="9"/>
  <c r="L175" i="9"/>
  <c r="X360" i="9"/>
  <c r="L322" i="9"/>
  <c r="X335" i="9"/>
  <c r="X307" i="9"/>
  <c r="X124" i="9"/>
  <c r="L171" i="9"/>
  <c r="X136" i="9"/>
  <c r="X325" i="9"/>
  <c r="L350" i="9"/>
  <c r="X215" i="9"/>
  <c r="X326" i="9"/>
  <c r="X323" i="9"/>
  <c r="L389" i="9"/>
  <c r="X142" i="9"/>
  <c r="X101" i="9"/>
  <c r="L161" i="9"/>
  <c r="L361" i="9"/>
  <c r="X316" i="9"/>
  <c r="X251" i="9"/>
  <c r="X90" i="9"/>
  <c r="L156" i="9"/>
  <c r="L282" i="9"/>
  <c r="L390" i="9"/>
  <c r="L360" i="9"/>
  <c r="L219" i="9"/>
  <c r="X204" i="9"/>
  <c r="X95" i="9"/>
  <c r="L303" i="9"/>
  <c r="L127" i="9"/>
  <c r="X100" i="9"/>
  <c r="L286" i="9"/>
  <c r="L374" i="9"/>
  <c r="L376" i="9"/>
  <c r="X189" i="9"/>
  <c r="X208" i="9"/>
  <c r="L128" i="9"/>
  <c r="L308" i="9"/>
  <c r="X273" i="9"/>
  <c r="X306" i="9"/>
  <c r="X364" i="9"/>
  <c r="L268" i="9"/>
  <c r="X264" i="9"/>
  <c r="L180" i="9"/>
  <c r="X315" i="9"/>
  <c r="X109" i="9"/>
  <c r="L145" i="9"/>
  <c r="X378" i="9"/>
  <c r="L256" i="9"/>
  <c r="L186" i="9"/>
  <c r="L205" i="9"/>
  <c r="L87" i="9"/>
  <c r="X388" i="9"/>
  <c r="X134" i="9"/>
  <c r="X317" i="9"/>
  <c r="X322" i="9"/>
  <c r="X93" i="9"/>
  <c r="X245" i="9"/>
  <c r="X232" i="9"/>
  <c r="L274" i="9"/>
  <c r="L272" i="9"/>
  <c r="L354" i="9"/>
  <c r="X121" i="9"/>
  <c r="X240" i="9"/>
  <c r="L310" i="9"/>
  <c r="L237" i="9"/>
  <c r="L257" i="9"/>
  <c r="X337" i="9"/>
  <c r="L96" i="9"/>
  <c r="X257" i="9"/>
  <c r="X237" i="9"/>
  <c r="X178" i="9"/>
  <c r="X202" i="9"/>
  <c r="X327" i="9"/>
  <c r="X391" i="9"/>
  <c r="L281" i="9"/>
  <c r="X218" i="9"/>
  <c r="X313" i="9"/>
  <c r="X234" i="9"/>
  <c r="L215" i="9"/>
  <c r="L249" i="9"/>
  <c r="X290" i="9"/>
  <c r="L368" i="9"/>
  <c r="X224" i="9"/>
  <c r="L323" i="9"/>
  <c r="L299" i="9"/>
  <c r="L204" i="9"/>
  <c r="X269" i="9"/>
  <c r="X278" i="9"/>
  <c r="X108" i="9"/>
  <c r="L178" i="9"/>
  <c r="L176" i="9"/>
  <c r="X349" i="9"/>
  <c r="X336" i="9"/>
  <c r="L152" i="9"/>
  <c r="L337" i="9"/>
  <c r="L95" i="9"/>
  <c r="X361" i="9"/>
  <c r="X226" i="9"/>
  <c r="L349" i="9"/>
  <c r="X241" i="9"/>
  <c r="L97" i="9"/>
  <c r="L201" i="9"/>
  <c r="L164" i="9"/>
  <c r="X139" i="9"/>
  <c r="L294" i="9"/>
  <c r="L315" i="9"/>
  <c r="X351" i="9"/>
  <c r="X193" i="9"/>
  <c r="L81" i="9"/>
  <c r="L289" i="9"/>
  <c r="L342" i="9"/>
  <c r="L284" i="9"/>
  <c r="L401" i="9"/>
  <c r="X381" i="9"/>
  <c r="L163" i="9"/>
  <c r="L319" i="9"/>
  <c r="L223" i="9"/>
  <c r="L116" i="9"/>
  <c r="L329" i="9"/>
  <c r="X302" i="9"/>
  <c r="X112" i="9"/>
  <c r="L302" i="9"/>
  <c r="L386" i="9"/>
  <c r="X107" i="9"/>
  <c r="L133" i="9"/>
  <c r="L290" i="9"/>
  <c r="X164" i="9"/>
  <c r="X259" i="9"/>
  <c r="X398" i="9"/>
  <c r="X377" i="9"/>
  <c r="X372" i="9"/>
  <c r="L321" i="9"/>
  <c r="L379" i="9"/>
  <c r="X96" i="9"/>
  <c r="L117" i="9"/>
  <c r="L220" i="9"/>
  <c r="L399" i="9"/>
  <c r="L353" i="9"/>
  <c r="L110" i="9"/>
  <c r="L198" i="9"/>
  <c r="X123" i="9"/>
  <c r="L269" i="9"/>
  <c r="L159" i="9"/>
  <c r="L325" i="9"/>
  <c r="L169" i="9"/>
  <c r="L101" i="9"/>
  <c r="L122" i="9"/>
  <c r="X332" i="9"/>
  <c r="X212" i="9"/>
  <c r="L142" i="9"/>
  <c r="L247" i="9"/>
  <c r="L187" i="9"/>
  <c r="X182" i="9"/>
  <c r="X347" i="9"/>
  <c r="X81" i="9"/>
  <c r="X135" i="9"/>
  <c r="L391" i="9"/>
  <c r="X265" i="9"/>
  <c r="L121" i="9"/>
  <c r="X392" i="9"/>
  <c r="L227" i="9"/>
  <c r="X195" i="9"/>
  <c r="X334" i="9"/>
  <c r="L228" i="9"/>
  <c r="X369" i="9"/>
  <c r="L265" i="9"/>
  <c r="X283" i="9"/>
  <c r="X160" i="9"/>
  <c r="X344" i="9"/>
  <c r="X188" i="9"/>
  <c r="X253" i="9"/>
  <c r="L150" i="9"/>
  <c r="L217" i="9"/>
  <c r="L356" i="9"/>
  <c r="L255" i="9"/>
  <c r="L311" i="9"/>
  <c r="L300" i="9"/>
  <c r="L396" i="9"/>
  <c r="L262" i="9"/>
  <c r="X356" i="9"/>
  <c r="X201" i="9"/>
  <c r="X190" i="9"/>
  <c r="X219" i="9"/>
  <c r="X311" i="9"/>
  <c r="X342" i="9"/>
  <c r="X154" i="9"/>
  <c r="X330" i="9"/>
  <c r="L283" i="9"/>
  <c r="X127" i="9"/>
  <c r="X167" i="9"/>
  <c r="X319" i="9"/>
  <c r="X104" i="9"/>
  <c r="X271" i="9"/>
  <c r="X371" i="9"/>
  <c r="L172" i="9"/>
  <c r="X296" i="9"/>
  <c r="X275" i="9"/>
  <c r="L84" i="9"/>
  <c r="L104" i="9"/>
  <c r="X162" i="9"/>
  <c r="L317" i="9"/>
  <c r="X260" i="9"/>
  <c r="L362" i="9"/>
  <c r="L261" i="9"/>
  <c r="L267" i="9"/>
  <c r="L149" i="9"/>
  <c r="L318" i="9"/>
  <c r="X209" i="9"/>
  <c r="X358" i="9"/>
  <c r="X203" i="9"/>
  <c r="L242" i="9"/>
  <c r="X143" i="9"/>
  <c r="L141" i="9"/>
  <c r="L402" i="9"/>
  <c r="X175" i="9"/>
  <c r="L206" i="9"/>
  <c r="X399" i="9"/>
  <c r="L115" i="9"/>
  <c r="L111" i="9"/>
  <c r="L372" i="9"/>
  <c r="L83" i="9"/>
  <c r="X191" i="9"/>
  <c r="X150" i="9"/>
  <c r="X80" i="9"/>
  <c r="L275" i="9"/>
  <c r="X159" i="9"/>
  <c r="L403" i="9"/>
  <c r="X329" i="9"/>
  <c r="L188" i="9"/>
  <c r="L173" i="9"/>
  <c r="L202" i="9"/>
  <c r="L347" i="9"/>
  <c r="L109" i="9"/>
  <c r="X111" i="9"/>
  <c r="X148" i="9"/>
  <c r="X363" i="9"/>
  <c r="X117" i="9"/>
  <c r="X276" i="9"/>
  <c r="L254" i="9"/>
  <c r="X106" i="9"/>
  <c r="X246" i="9"/>
  <c r="X140" i="9"/>
  <c r="L210" i="9"/>
  <c r="L240" i="9"/>
  <c r="L339" i="9"/>
  <c r="L314" i="9"/>
  <c r="L232" i="9"/>
  <c r="L233" i="9"/>
  <c r="L224" i="9"/>
  <c r="L140" i="9"/>
  <c r="X274" i="9"/>
  <c r="X156" i="9"/>
  <c r="L193" i="9"/>
  <c r="L377" i="9"/>
  <c r="X348" i="9"/>
  <c r="L143" i="9"/>
  <c r="X282" i="9"/>
  <c r="L236" i="9"/>
  <c r="L370" i="9"/>
  <c r="X199" i="9"/>
  <c r="X102" i="9"/>
  <c r="X97" i="9"/>
  <c r="X268" i="9"/>
  <c r="X176" i="9"/>
  <c r="L335" i="9"/>
  <c r="L160" i="9"/>
  <c r="X147" i="9"/>
  <c r="L382" i="9"/>
  <c r="X362" i="9"/>
  <c r="L260" i="9"/>
  <c r="X214" i="9"/>
  <c r="L246" i="9"/>
  <c r="L146" i="9"/>
  <c r="L123" i="9"/>
  <c r="X280" i="9"/>
  <c r="X200" i="9"/>
  <c r="L99" i="9"/>
  <c r="X350" i="9"/>
  <c r="L336" i="9"/>
  <c r="L130" i="9"/>
  <c r="X153" i="9"/>
  <c r="X359" i="9"/>
  <c r="X116" i="9"/>
  <c r="X91" i="9"/>
  <c r="X304" i="9"/>
  <c r="X165" i="9"/>
  <c r="L212" i="9"/>
  <c r="L131" i="9"/>
  <c r="L385" i="9"/>
  <c r="X166" i="9"/>
  <c r="L214" i="9"/>
  <c r="X256" i="9"/>
  <c r="L91" i="9"/>
  <c r="L98" i="9"/>
  <c r="L165" i="9"/>
  <c r="L384" i="9"/>
  <c r="X223" i="9"/>
  <c r="X396" i="9"/>
  <c r="L218" i="9"/>
  <c r="X309" i="9"/>
  <c r="L158" i="9"/>
  <c r="X401" i="9"/>
  <c r="L157" i="9"/>
  <c r="X397" i="9"/>
  <c r="L136" i="9"/>
  <c r="X352" i="9"/>
  <c r="L371" i="9"/>
  <c r="L298" i="9"/>
  <c r="X305" i="9"/>
  <c r="X389" i="9"/>
  <c r="L174" i="9"/>
  <c r="X231" i="9"/>
  <c r="X385" i="9"/>
  <c r="L392" i="9"/>
  <c r="L191" i="9"/>
  <c r="X185" i="9"/>
  <c r="X228" i="9"/>
  <c r="X157" i="9"/>
  <c r="X249" i="9"/>
  <c r="L225" i="9"/>
  <c r="X394" i="9"/>
  <c r="X119" i="9"/>
  <c r="L309" i="9"/>
  <c r="X272" i="9"/>
  <c r="L126" i="9"/>
  <c r="X314" i="9"/>
  <c r="X324" i="9"/>
  <c r="X338" i="9"/>
  <c r="X151" i="9"/>
  <c r="X386" i="9"/>
  <c r="L250" i="9"/>
  <c r="L153" i="9"/>
  <c r="L203" i="9"/>
  <c r="L332" i="9"/>
  <c r="X340" i="9"/>
  <c r="L395" i="9"/>
  <c r="L259" i="9"/>
  <c r="X367" i="9"/>
  <c r="X292" i="9"/>
  <c r="L304" i="9"/>
  <c r="L324" i="9"/>
  <c r="X141" i="9"/>
  <c r="X387" i="9"/>
  <c r="L213" i="9"/>
  <c r="L208" i="9"/>
  <c r="X236" i="9"/>
  <c r="X239" i="9"/>
  <c r="L125" i="9"/>
  <c r="L120" i="9"/>
  <c r="X174" i="9"/>
  <c r="L209" i="9"/>
  <c r="X144" i="9"/>
  <c r="X242" i="9"/>
  <c r="L189" i="9"/>
  <c r="X83" i="9"/>
  <c r="X346" i="9"/>
  <c r="L271" i="9"/>
  <c r="L112" i="9"/>
  <c r="L320" i="9"/>
  <c r="X110" i="9"/>
  <c r="X375" i="9"/>
  <c r="L129" i="9"/>
  <c r="X384" i="9"/>
  <c r="X194" i="9"/>
  <c r="L365" i="9"/>
  <c r="X331" i="9"/>
  <c r="X172" i="9"/>
  <c r="L82" i="9"/>
  <c r="L103" i="9"/>
  <c r="L292" i="9"/>
  <c r="X103" i="9"/>
  <c r="X320" i="9"/>
  <c r="X170" i="9"/>
  <c r="L234" i="9"/>
  <c r="X247" i="9"/>
  <c r="X289" i="9"/>
  <c r="L151" i="9"/>
  <c r="L244" i="9"/>
  <c r="L359" i="9"/>
  <c r="X184" i="9"/>
  <c r="X343" i="9"/>
  <c r="X225" i="9"/>
  <c r="L181" i="9"/>
  <c r="L312" i="9"/>
  <c r="X197" i="9"/>
  <c r="X186" i="9"/>
  <c r="X205" i="9"/>
  <c r="X248" i="9"/>
  <c r="L135" i="9"/>
  <c r="X295" i="9"/>
  <c r="X43" i="9"/>
  <c r="M10" i="9"/>
  <c r="T20" i="9" s="1"/>
  <c r="L43" i="9"/>
  <c r="AZ33" i="12" l="1"/>
  <c r="AY34" i="12"/>
  <c r="AW33" i="12"/>
  <c r="AV34" i="12"/>
  <c r="I17" i="12"/>
  <c r="I20" i="12"/>
  <c r="L34" i="13"/>
  <c r="L37" i="13" s="1"/>
  <c r="K34" i="13"/>
  <c r="K37" i="13" s="1"/>
  <c r="F37" i="13"/>
  <c r="G34" i="13"/>
  <c r="G37" i="13" s="1"/>
  <c r="AX75" i="16"/>
  <c r="AY74" i="16"/>
  <c r="AP74" i="16"/>
  <c r="AQ74" i="16" s="1"/>
  <c r="AM74" i="16"/>
  <c r="AN74" i="16" s="1"/>
  <c r="AU75" i="16"/>
  <c r="AV74" i="16"/>
  <c r="BA62" i="13"/>
  <c r="BB62" i="13" s="1"/>
  <c r="AR30" i="12"/>
  <c r="AQ31" i="12"/>
  <c r="AN31" i="12"/>
  <c r="AO30" i="12"/>
  <c r="BD62" i="13"/>
  <c r="BE62" i="13" s="1"/>
  <c r="AV62" i="13"/>
  <c r="AW62" i="13" s="1"/>
  <c r="AS62" i="13"/>
  <c r="AT62" i="13" s="1"/>
  <c r="AN61" i="13"/>
  <c r="AO61" i="13" s="1"/>
  <c r="AK61" i="13"/>
  <c r="AL61" i="13" s="1"/>
  <c r="Q24" i="9"/>
  <c r="P24" i="9"/>
  <c r="S23" i="9"/>
  <c r="N27" i="9"/>
  <c r="Z24" i="9"/>
  <c r="Z23" i="9"/>
  <c r="Z30" i="9"/>
  <c r="Z37" i="9"/>
  <c r="Z28" i="9"/>
  <c r="Z16" i="9"/>
  <c r="Z38" i="9"/>
  <c r="N35" i="9"/>
  <c r="N24" i="9"/>
  <c r="N31" i="9"/>
  <c r="N20" i="9"/>
  <c r="N33" i="9"/>
  <c r="Z35" i="9"/>
  <c r="Z31" i="9"/>
  <c r="Z13" i="9"/>
  <c r="N19" i="9"/>
  <c r="N14" i="9"/>
  <c r="Z42" i="9"/>
  <c r="N13" i="9"/>
  <c r="Z40" i="9"/>
  <c r="N16" i="9"/>
  <c r="N37" i="9"/>
  <c r="Z22" i="9"/>
  <c r="N26" i="9"/>
  <c r="Z20" i="9"/>
  <c r="Z29" i="9"/>
  <c r="Z12" i="9"/>
  <c r="Z33" i="9"/>
  <c r="N25" i="9"/>
  <c r="N22" i="9"/>
  <c r="N21" i="9"/>
  <c r="N38" i="9"/>
  <c r="Z18" i="9"/>
  <c r="Z17" i="9"/>
  <c r="N40" i="9"/>
  <c r="Z15" i="9"/>
  <c r="Z36" i="9"/>
  <c r="Z41" i="9"/>
  <c r="Z27" i="9"/>
  <c r="N39" i="9"/>
  <c r="Z34" i="9"/>
  <c r="Z19" i="9"/>
  <c r="Z10" i="9"/>
  <c r="Z39" i="9"/>
  <c r="Z25" i="9"/>
  <c r="N23" i="9"/>
  <c r="Z14" i="9"/>
  <c r="N36" i="9"/>
  <c r="N28" i="9"/>
  <c r="N30" i="9"/>
  <c r="Z26" i="9"/>
  <c r="Z32" i="9"/>
  <c r="N34" i="9"/>
  <c r="N15" i="9"/>
  <c r="Z21" i="9"/>
  <c r="N11" i="9"/>
  <c r="Z11" i="9"/>
  <c r="N32" i="9"/>
  <c r="N41" i="9"/>
  <c r="N12" i="9"/>
  <c r="N42" i="9"/>
  <c r="N17" i="9"/>
  <c r="N29" i="9"/>
  <c r="N18" i="9"/>
  <c r="N10" i="9"/>
  <c r="AW34" i="12" l="1"/>
  <c r="AV35" i="12"/>
  <c r="AZ34" i="12"/>
  <c r="AY35" i="12"/>
  <c r="I41" i="12"/>
  <c r="K41" i="12" s="1"/>
  <c r="J17" i="12"/>
  <c r="J41" i="12" s="1"/>
  <c r="K17" i="12"/>
  <c r="I44" i="12"/>
  <c r="K44" i="12" s="1"/>
  <c r="K20" i="12"/>
  <c r="J20" i="12"/>
  <c r="J44" i="12" s="1"/>
  <c r="M34" i="13"/>
  <c r="M37" i="13" s="1"/>
  <c r="E42" i="13" s="1"/>
  <c r="AU76" i="16"/>
  <c r="AV75" i="16"/>
  <c r="AM75" i="16"/>
  <c r="AN75" i="16" s="1"/>
  <c r="AP75" i="16"/>
  <c r="AQ75" i="16" s="1"/>
  <c r="AY75" i="16"/>
  <c r="AX76" i="16"/>
  <c r="BA63" i="13"/>
  <c r="BB63" i="13" s="1"/>
  <c r="AO31" i="12"/>
  <c r="AN32" i="12"/>
  <c r="AR31" i="12"/>
  <c r="AQ32" i="12"/>
  <c r="BD63" i="13"/>
  <c r="BE63" i="13" s="1"/>
  <c r="AS63" i="13"/>
  <c r="AT63" i="13" s="1"/>
  <c r="AV63" i="13"/>
  <c r="AW63" i="13" s="1"/>
  <c r="AK62" i="13"/>
  <c r="AL62" i="13" s="1"/>
  <c r="AN62" i="13"/>
  <c r="AO62" i="13" s="1"/>
  <c r="S24" i="9"/>
  <c r="P25" i="9"/>
  <c r="Q25" i="9"/>
  <c r="Z43" i="9"/>
  <c r="N43" i="9"/>
  <c r="BG34" i="9" s="1"/>
  <c r="AZ35" i="12" l="1"/>
  <c r="AY36" i="12"/>
  <c r="AW35" i="12"/>
  <c r="AV36" i="12"/>
  <c r="AX77" i="16"/>
  <c r="AY76" i="16"/>
  <c r="AM76" i="16"/>
  <c r="AN76" i="16" s="1"/>
  <c r="AP76" i="16"/>
  <c r="AQ76" i="16" s="1"/>
  <c r="AU77" i="16"/>
  <c r="AV76" i="16"/>
  <c r="BA64" i="13"/>
  <c r="BB64" i="13" s="1"/>
  <c r="AQ33" i="12"/>
  <c r="AR32" i="12"/>
  <c r="AN33" i="12"/>
  <c r="AO32" i="12"/>
  <c r="BD64" i="13"/>
  <c r="BE64" i="13" s="1"/>
  <c r="AV64" i="13"/>
  <c r="AW64" i="13" s="1"/>
  <c r="AS64" i="13"/>
  <c r="AT64" i="13" s="1"/>
  <c r="AN63" i="13"/>
  <c r="AO63" i="13" s="1"/>
  <c r="AK63" i="13"/>
  <c r="AL63" i="13" s="1"/>
  <c r="AS38" i="9"/>
  <c r="AZ17" i="9"/>
  <c r="AF18" i="9"/>
  <c r="AL18" i="9"/>
  <c r="S25" i="9"/>
  <c r="Q26" i="9"/>
  <c r="P26" i="9"/>
  <c r="X72" i="9"/>
  <c r="L79" i="9"/>
  <c r="L75" i="9"/>
  <c r="L54" i="9"/>
  <c r="X58" i="9"/>
  <c r="L59" i="9"/>
  <c r="L49" i="9"/>
  <c r="X62" i="9"/>
  <c r="X51" i="9"/>
  <c r="X79" i="9"/>
  <c r="X52" i="9"/>
  <c r="L77" i="9"/>
  <c r="L65" i="9"/>
  <c r="L66" i="9"/>
  <c r="X59" i="9"/>
  <c r="X74" i="9"/>
  <c r="X56" i="9"/>
  <c r="X67" i="9"/>
  <c r="L58" i="9"/>
  <c r="X50" i="9"/>
  <c r="X68" i="9"/>
  <c r="X73" i="9"/>
  <c r="L67" i="9"/>
  <c r="L52" i="9"/>
  <c r="X65" i="9"/>
  <c r="X54" i="9"/>
  <c r="L60" i="9"/>
  <c r="X64" i="9"/>
  <c r="L50" i="9"/>
  <c r="X63" i="9"/>
  <c r="L56" i="9"/>
  <c r="X70" i="9"/>
  <c r="X47" i="9"/>
  <c r="Y47" i="9" s="1"/>
  <c r="X66" i="9"/>
  <c r="L51" i="9"/>
  <c r="L48" i="9"/>
  <c r="X60" i="9"/>
  <c r="L73" i="9"/>
  <c r="L76" i="9"/>
  <c r="X53" i="9"/>
  <c r="L68" i="9"/>
  <c r="L63" i="9"/>
  <c r="L53" i="9"/>
  <c r="L69" i="9"/>
  <c r="X61" i="9"/>
  <c r="L57" i="9"/>
  <c r="L61" i="9"/>
  <c r="L71" i="9"/>
  <c r="X48" i="9"/>
  <c r="L72" i="9"/>
  <c r="L64" i="9"/>
  <c r="X71" i="9"/>
  <c r="L70" i="9"/>
  <c r="X49" i="9"/>
  <c r="L47" i="9"/>
  <c r="M47" i="9" s="1"/>
  <c r="L62" i="9"/>
  <c r="X77" i="9"/>
  <c r="L78" i="9"/>
  <c r="X57" i="9"/>
  <c r="X69" i="9"/>
  <c r="L74" i="9"/>
  <c r="X75" i="9"/>
  <c r="X76" i="9"/>
  <c r="X55" i="9"/>
  <c r="L55" i="9"/>
  <c r="X78" i="9"/>
  <c r="AW36" i="12" l="1"/>
  <c r="AV37" i="12"/>
  <c r="AZ36" i="12"/>
  <c r="AY37" i="12"/>
  <c r="AU78" i="16"/>
  <c r="AV77" i="16"/>
  <c r="AP77" i="16"/>
  <c r="AQ77" i="16" s="1"/>
  <c r="AM77" i="16"/>
  <c r="AN77" i="16" s="1"/>
  <c r="AX78" i="16"/>
  <c r="AY77" i="16"/>
  <c r="BA65" i="13"/>
  <c r="BB65" i="13" s="1"/>
  <c r="AO33" i="12"/>
  <c r="AN34" i="12"/>
  <c r="AR33" i="12"/>
  <c r="AQ34" i="12"/>
  <c r="BD65" i="13"/>
  <c r="BE65" i="13" s="1"/>
  <c r="AS65" i="13"/>
  <c r="AT65" i="13" s="1"/>
  <c r="AV65" i="13"/>
  <c r="AW65" i="13" s="1"/>
  <c r="AK64" i="13"/>
  <c r="AL64" i="13" s="1"/>
  <c r="AN64" i="13"/>
  <c r="AO64" i="13" s="1"/>
  <c r="Y48" i="9"/>
  <c r="Y49" i="9" s="1"/>
  <c r="Y50" i="9" s="1"/>
  <c r="Y51" i="9" s="1"/>
  <c r="Y52" i="9" s="1"/>
  <c r="Y53" i="9" s="1"/>
  <c r="Y54" i="9" s="1"/>
  <c r="Y55" i="9" s="1"/>
  <c r="Y56" i="9" s="1"/>
  <c r="Y57" i="9" s="1"/>
  <c r="Y58" i="9" s="1"/>
  <c r="Y59" i="9" s="1"/>
  <c r="Y60" i="9" s="1"/>
  <c r="Y61" i="9" s="1"/>
  <c r="Y62" i="9" s="1"/>
  <c r="Y63" i="9" s="1"/>
  <c r="Y64" i="9" s="1"/>
  <c r="Y65" i="9" s="1"/>
  <c r="Y66" i="9" s="1"/>
  <c r="Y67" i="9" s="1"/>
  <c r="Y68" i="9" s="1"/>
  <c r="Y69" i="9" s="1"/>
  <c r="Y70" i="9" s="1"/>
  <c r="Y71" i="9" s="1"/>
  <c r="Y72" i="9" s="1"/>
  <c r="Y73" i="9" s="1"/>
  <c r="Y74" i="9" s="1"/>
  <c r="Y75" i="9" s="1"/>
  <c r="Y76" i="9" s="1"/>
  <c r="Y77" i="9" s="1"/>
  <c r="Y78" i="9" s="1"/>
  <c r="Y79" i="9" s="1"/>
  <c r="Y80" i="9" s="1"/>
  <c r="Y81" i="9" s="1"/>
  <c r="Y82" i="9" s="1"/>
  <c r="Y83" i="9" s="1"/>
  <c r="Y84" i="9" s="1"/>
  <c r="Y85" i="9" s="1"/>
  <c r="Y86" i="9" s="1"/>
  <c r="Y87" i="9" s="1"/>
  <c r="Y88" i="9" s="1"/>
  <c r="Y89" i="9" s="1"/>
  <c r="Y90" i="9" s="1"/>
  <c r="Y91" i="9" s="1"/>
  <c r="Y92" i="9" s="1"/>
  <c r="Y93" i="9" s="1"/>
  <c r="Y94" i="9" s="1"/>
  <c r="Y95" i="9" s="1"/>
  <c r="Y96" i="9" s="1"/>
  <c r="Y97" i="9" s="1"/>
  <c r="Y98" i="9" s="1"/>
  <c r="Y99" i="9" s="1"/>
  <c r="Y100" i="9" s="1"/>
  <c r="Y101" i="9" s="1"/>
  <c r="Y102" i="9" s="1"/>
  <c r="Y103" i="9" s="1"/>
  <c r="Y104" i="9" s="1"/>
  <c r="Y105" i="9" s="1"/>
  <c r="Y106" i="9" s="1"/>
  <c r="Y107" i="9" s="1"/>
  <c r="Y108" i="9" s="1"/>
  <c r="Y109" i="9" s="1"/>
  <c r="Y110" i="9" s="1"/>
  <c r="Y111" i="9" s="1"/>
  <c r="Y112" i="9" s="1"/>
  <c r="Y113" i="9" s="1"/>
  <c r="Y114" i="9" s="1"/>
  <c r="Y115" i="9" s="1"/>
  <c r="Y116" i="9" s="1"/>
  <c r="Y117" i="9" s="1"/>
  <c r="Y118" i="9" s="1"/>
  <c r="Y119" i="9" s="1"/>
  <c r="Y120" i="9" s="1"/>
  <c r="Y121" i="9" s="1"/>
  <c r="Y122" i="9" s="1"/>
  <c r="Y123" i="9" s="1"/>
  <c r="Y124" i="9" s="1"/>
  <c r="Y125" i="9" s="1"/>
  <c r="Y126" i="9" s="1"/>
  <c r="Y127" i="9" s="1"/>
  <c r="Y128" i="9" s="1"/>
  <c r="Y129" i="9" s="1"/>
  <c r="Y130" i="9" s="1"/>
  <c r="Y131" i="9" s="1"/>
  <c r="Y132" i="9" s="1"/>
  <c r="Y133" i="9" s="1"/>
  <c r="Y134" i="9" s="1"/>
  <c r="Y135" i="9" s="1"/>
  <c r="Y136" i="9" s="1"/>
  <c r="Y137" i="9" s="1"/>
  <c r="Y138" i="9" s="1"/>
  <c r="Y139" i="9" s="1"/>
  <c r="Y140" i="9" s="1"/>
  <c r="Y141" i="9" s="1"/>
  <c r="Y142" i="9" s="1"/>
  <c r="Y143" i="9" s="1"/>
  <c r="Y144" i="9" s="1"/>
  <c r="Y145" i="9" s="1"/>
  <c r="Y146" i="9" s="1"/>
  <c r="Y147" i="9" s="1"/>
  <c r="Y148" i="9" s="1"/>
  <c r="Y149" i="9" s="1"/>
  <c r="Y150" i="9" s="1"/>
  <c r="Y151" i="9" s="1"/>
  <c r="Y152" i="9" s="1"/>
  <c r="Y153" i="9" s="1"/>
  <c r="Y154" i="9" s="1"/>
  <c r="Y155" i="9" s="1"/>
  <c r="Y156" i="9" s="1"/>
  <c r="Y157" i="9" s="1"/>
  <c r="Y158" i="9" s="1"/>
  <c r="Y159" i="9" s="1"/>
  <c r="Y160" i="9" s="1"/>
  <c r="Y161" i="9" s="1"/>
  <c r="Y162" i="9" s="1"/>
  <c r="Y163" i="9" s="1"/>
  <c r="Y164" i="9" s="1"/>
  <c r="Y165" i="9" s="1"/>
  <c r="Y166" i="9" s="1"/>
  <c r="Y167" i="9" s="1"/>
  <c r="Y168" i="9" s="1"/>
  <c r="Y169" i="9" s="1"/>
  <c r="Y170" i="9" s="1"/>
  <c r="Y171" i="9" s="1"/>
  <c r="Y172" i="9" s="1"/>
  <c r="Y173" i="9" s="1"/>
  <c r="Y174" i="9" s="1"/>
  <c r="Y175" i="9" s="1"/>
  <c r="Y176" i="9" s="1"/>
  <c r="Y177" i="9" s="1"/>
  <c r="Y178" i="9" s="1"/>
  <c r="Y179" i="9" s="1"/>
  <c r="Y180" i="9" s="1"/>
  <c r="Y181" i="9" s="1"/>
  <c r="Y182" i="9" s="1"/>
  <c r="Y183" i="9" s="1"/>
  <c r="Y184" i="9" s="1"/>
  <c r="Y185" i="9" s="1"/>
  <c r="Y186" i="9" s="1"/>
  <c r="Y187" i="9" s="1"/>
  <c r="Y188" i="9" s="1"/>
  <c r="Y189" i="9" s="1"/>
  <c r="Y190" i="9" s="1"/>
  <c r="Y191" i="9" s="1"/>
  <c r="Y192" i="9" s="1"/>
  <c r="Y193" i="9" s="1"/>
  <c r="Y194" i="9" s="1"/>
  <c r="Y195" i="9" s="1"/>
  <c r="Y196" i="9" s="1"/>
  <c r="Y197" i="9" s="1"/>
  <c r="Y198" i="9" s="1"/>
  <c r="Y199" i="9" s="1"/>
  <c r="Y200" i="9" s="1"/>
  <c r="Y201" i="9" s="1"/>
  <c r="Y202" i="9" s="1"/>
  <c r="Y203" i="9" s="1"/>
  <c r="Y204" i="9" s="1"/>
  <c r="Y205" i="9" s="1"/>
  <c r="Y206" i="9" s="1"/>
  <c r="Y207" i="9" s="1"/>
  <c r="Y208" i="9" s="1"/>
  <c r="Y209" i="9" s="1"/>
  <c r="Y210" i="9" s="1"/>
  <c r="Y211" i="9" s="1"/>
  <c r="Y212" i="9" s="1"/>
  <c r="Y213" i="9" s="1"/>
  <c r="Y214" i="9" s="1"/>
  <c r="Y215" i="9" s="1"/>
  <c r="Y216" i="9" s="1"/>
  <c r="Y217" i="9" s="1"/>
  <c r="Y218" i="9" s="1"/>
  <c r="Y219" i="9" s="1"/>
  <c r="Y220" i="9" s="1"/>
  <c r="Y221" i="9" s="1"/>
  <c r="Y222" i="9" s="1"/>
  <c r="Y223" i="9" s="1"/>
  <c r="Y224" i="9" s="1"/>
  <c r="Y225" i="9" s="1"/>
  <c r="Y226" i="9" s="1"/>
  <c r="Y227" i="9" s="1"/>
  <c r="Y228" i="9" s="1"/>
  <c r="Y229" i="9" s="1"/>
  <c r="Y230" i="9" s="1"/>
  <c r="Y231" i="9" s="1"/>
  <c r="Y232" i="9" s="1"/>
  <c r="Y233" i="9" s="1"/>
  <c r="Y234" i="9" s="1"/>
  <c r="Y235" i="9" s="1"/>
  <c r="Y236" i="9" s="1"/>
  <c r="Y237" i="9" s="1"/>
  <c r="Y238" i="9" s="1"/>
  <c r="Y239" i="9" s="1"/>
  <c r="Y240" i="9" s="1"/>
  <c r="Y241" i="9" s="1"/>
  <c r="Y242" i="9" s="1"/>
  <c r="Y243" i="9" s="1"/>
  <c r="Y244" i="9" s="1"/>
  <c r="Y245" i="9" s="1"/>
  <c r="Y246" i="9" s="1"/>
  <c r="Y247" i="9" s="1"/>
  <c r="Y248" i="9" s="1"/>
  <c r="Y249" i="9" s="1"/>
  <c r="Y250" i="9" s="1"/>
  <c r="Y251" i="9" s="1"/>
  <c r="Y252" i="9" s="1"/>
  <c r="Y253" i="9" s="1"/>
  <c r="Y254" i="9" s="1"/>
  <c r="Y255" i="9" s="1"/>
  <c r="Y256" i="9" s="1"/>
  <c r="Y257" i="9" s="1"/>
  <c r="Y258" i="9" s="1"/>
  <c r="Y259" i="9" s="1"/>
  <c r="Y260" i="9" s="1"/>
  <c r="Y261" i="9" s="1"/>
  <c r="Y262" i="9" s="1"/>
  <c r="Y263" i="9" s="1"/>
  <c r="Y264" i="9" s="1"/>
  <c r="Y265" i="9" s="1"/>
  <c r="Y266" i="9" s="1"/>
  <c r="Y267" i="9" s="1"/>
  <c r="Y268" i="9" s="1"/>
  <c r="Y269" i="9" s="1"/>
  <c r="Y270" i="9" s="1"/>
  <c r="Y271" i="9" s="1"/>
  <c r="Y272" i="9" s="1"/>
  <c r="Y273" i="9" s="1"/>
  <c r="Y274" i="9" s="1"/>
  <c r="Y275" i="9" s="1"/>
  <c r="Y276" i="9" s="1"/>
  <c r="Y277" i="9" s="1"/>
  <c r="Y278" i="9" s="1"/>
  <c r="Y279" i="9" s="1"/>
  <c r="Y280" i="9" s="1"/>
  <c r="Y281" i="9" s="1"/>
  <c r="Y282" i="9" s="1"/>
  <c r="Y283" i="9" s="1"/>
  <c r="Y284" i="9" s="1"/>
  <c r="Y285" i="9" s="1"/>
  <c r="Y286" i="9" s="1"/>
  <c r="Y287" i="9" s="1"/>
  <c r="Y288" i="9" s="1"/>
  <c r="Y289" i="9" s="1"/>
  <c r="Y290" i="9" s="1"/>
  <c r="Y291" i="9" s="1"/>
  <c r="Y292" i="9" s="1"/>
  <c r="Y293" i="9" s="1"/>
  <c r="Y294" i="9" s="1"/>
  <c r="Y295" i="9" s="1"/>
  <c r="Y296" i="9" s="1"/>
  <c r="Y297" i="9" s="1"/>
  <c r="Y298" i="9" s="1"/>
  <c r="Y299" i="9" s="1"/>
  <c r="Y300" i="9" s="1"/>
  <c r="Y301" i="9" s="1"/>
  <c r="Y302" i="9" s="1"/>
  <c r="Y303" i="9" s="1"/>
  <c r="Y304" i="9" s="1"/>
  <c r="Y305" i="9" s="1"/>
  <c r="Y306" i="9" s="1"/>
  <c r="Y307" i="9" s="1"/>
  <c r="Y308" i="9" s="1"/>
  <c r="Y309" i="9" s="1"/>
  <c r="Y310" i="9" s="1"/>
  <c r="Y311" i="9" s="1"/>
  <c r="Y312" i="9" s="1"/>
  <c r="Y313" i="9" s="1"/>
  <c r="Y314" i="9" s="1"/>
  <c r="Y315" i="9" s="1"/>
  <c r="Y316" i="9" s="1"/>
  <c r="Y317" i="9" s="1"/>
  <c r="Y318" i="9" s="1"/>
  <c r="Y319" i="9" s="1"/>
  <c r="Y320" i="9" s="1"/>
  <c r="Y321" i="9" s="1"/>
  <c r="Y322" i="9" s="1"/>
  <c r="Y323" i="9" s="1"/>
  <c r="Y324" i="9" s="1"/>
  <c r="Y325" i="9" s="1"/>
  <c r="Y326" i="9" s="1"/>
  <c r="Y327" i="9" s="1"/>
  <c r="Y328" i="9" s="1"/>
  <c r="Y329" i="9" s="1"/>
  <c r="Y330" i="9" s="1"/>
  <c r="Y331" i="9" s="1"/>
  <c r="Y332" i="9" s="1"/>
  <c r="Y333" i="9" s="1"/>
  <c r="Y334" i="9" s="1"/>
  <c r="Y335" i="9" s="1"/>
  <c r="Y336" i="9" s="1"/>
  <c r="Y337" i="9" s="1"/>
  <c r="Y338" i="9" s="1"/>
  <c r="Y339" i="9" s="1"/>
  <c r="Y340" i="9" s="1"/>
  <c r="Y341" i="9" s="1"/>
  <c r="Y342" i="9" s="1"/>
  <c r="Y343" i="9" s="1"/>
  <c r="Y344" i="9" s="1"/>
  <c r="Y345" i="9" s="1"/>
  <c r="Y346" i="9" s="1"/>
  <c r="Y347" i="9" s="1"/>
  <c r="Y348" i="9" s="1"/>
  <c r="Y349" i="9" s="1"/>
  <c r="Y350" i="9" s="1"/>
  <c r="Y351" i="9" s="1"/>
  <c r="Y352" i="9" s="1"/>
  <c r="Y353" i="9" s="1"/>
  <c r="Y354" i="9" s="1"/>
  <c r="Y355" i="9" s="1"/>
  <c r="Y356" i="9" s="1"/>
  <c r="Y357" i="9" s="1"/>
  <c r="Y358" i="9" s="1"/>
  <c r="Y359" i="9" s="1"/>
  <c r="Y360" i="9" s="1"/>
  <c r="Y361" i="9" s="1"/>
  <c r="Y362" i="9" s="1"/>
  <c r="Y363" i="9" s="1"/>
  <c r="Y364" i="9" s="1"/>
  <c r="Y365" i="9" s="1"/>
  <c r="Y366" i="9" s="1"/>
  <c r="Y367" i="9" s="1"/>
  <c r="Y368" i="9" s="1"/>
  <c r="Y369" i="9" s="1"/>
  <c r="Y370" i="9" s="1"/>
  <c r="Y371" i="9" s="1"/>
  <c r="Y372" i="9" s="1"/>
  <c r="Y373" i="9" s="1"/>
  <c r="Y374" i="9" s="1"/>
  <c r="Y375" i="9" s="1"/>
  <c r="Y376" i="9" s="1"/>
  <c r="Y377" i="9" s="1"/>
  <c r="Y378" i="9" s="1"/>
  <c r="Y379" i="9" s="1"/>
  <c r="Y380" i="9" s="1"/>
  <c r="Y381" i="9" s="1"/>
  <c r="Y382" i="9" s="1"/>
  <c r="Y383" i="9" s="1"/>
  <c r="Y384" i="9" s="1"/>
  <c r="Y385" i="9" s="1"/>
  <c r="Y386" i="9" s="1"/>
  <c r="Y387" i="9" s="1"/>
  <c r="Y388" i="9" s="1"/>
  <c r="Y389" i="9" s="1"/>
  <c r="Y390" i="9" s="1"/>
  <c r="Y391" i="9" s="1"/>
  <c r="Y392" i="9" s="1"/>
  <c r="Y393" i="9" s="1"/>
  <c r="Y394" i="9" s="1"/>
  <c r="Y395" i="9" s="1"/>
  <c r="Y396" i="9" s="1"/>
  <c r="Y397" i="9" s="1"/>
  <c r="Y398" i="9" s="1"/>
  <c r="Y399" i="9" s="1"/>
  <c r="Y400" i="9" s="1"/>
  <c r="Y401" i="9" s="1"/>
  <c r="Y402" i="9" s="1"/>
  <c r="Y403" i="9" s="1"/>
  <c r="S26" i="9"/>
  <c r="Q27" i="9"/>
  <c r="P27" i="9"/>
  <c r="M48" i="9"/>
  <c r="M49" i="9" s="1"/>
  <c r="M50" i="9" s="1"/>
  <c r="M51" i="9" s="1"/>
  <c r="AZ37" i="12" l="1"/>
  <c r="AY38" i="12"/>
  <c r="AW37" i="12"/>
  <c r="AV38" i="12"/>
  <c r="AX79" i="16"/>
  <c r="AY79" i="16" s="1"/>
  <c r="AY78" i="16"/>
  <c r="AP78" i="16"/>
  <c r="AQ78" i="16" s="1"/>
  <c r="AM78" i="16"/>
  <c r="AN78" i="16" s="1"/>
  <c r="AU79" i="16"/>
  <c r="AV79" i="16" s="1"/>
  <c r="AV78" i="16"/>
  <c r="BA66" i="13"/>
  <c r="BB66" i="13" s="1"/>
  <c r="AQ35" i="12"/>
  <c r="AR34" i="12"/>
  <c r="AO34" i="12"/>
  <c r="AN35" i="12"/>
  <c r="BD66" i="13"/>
  <c r="BE66" i="13" s="1"/>
  <c r="AV66" i="13"/>
  <c r="AW66" i="13" s="1"/>
  <c r="AS66" i="13"/>
  <c r="AT66" i="13" s="1"/>
  <c r="AN65" i="13"/>
  <c r="AO65" i="13" s="1"/>
  <c r="AK65" i="13"/>
  <c r="AL65" i="13" s="1"/>
  <c r="S27" i="9"/>
  <c r="AL24" i="9"/>
  <c r="M52" i="9"/>
  <c r="AL25" i="9"/>
  <c r="AW38" i="12" l="1"/>
  <c r="AW26" i="12" s="1"/>
  <c r="I32" i="12" s="1"/>
  <c r="AV39" i="12"/>
  <c r="AZ38" i="12"/>
  <c r="AZ26" i="12" s="1"/>
  <c r="I33" i="12" s="1"/>
  <c r="J33" i="12" s="1"/>
  <c r="AY39" i="12"/>
  <c r="AM79" i="16"/>
  <c r="AN79" i="16" s="1"/>
  <c r="AP79" i="16"/>
  <c r="AQ79" i="16" s="1"/>
  <c r="BA67" i="13"/>
  <c r="BB67" i="13" s="1"/>
  <c r="AN36" i="12"/>
  <c r="AO35" i="12"/>
  <c r="AQ36" i="12"/>
  <c r="AR35" i="12"/>
  <c r="BD67" i="13"/>
  <c r="BE67" i="13" s="1"/>
  <c r="AS67" i="13"/>
  <c r="AT67" i="13" s="1"/>
  <c r="AV67" i="13"/>
  <c r="AW67" i="13" s="1"/>
  <c r="AK66" i="13"/>
  <c r="AL66" i="13" s="1"/>
  <c r="AN66" i="13"/>
  <c r="AO66" i="13" s="1"/>
  <c r="BG33" i="9"/>
  <c r="AF17" i="9"/>
  <c r="M53" i="9"/>
  <c r="AL23" i="9"/>
  <c r="AL17" i="9"/>
  <c r="AF25" i="9"/>
  <c r="AZ16" i="9"/>
  <c r="AZ39" i="12" l="1"/>
  <c r="AY40" i="12"/>
  <c r="AW39" i="12"/>
  <c r="AV40" i="12"/>
  <c r="J32" i="12"/>
  <c r="J37" i="12" s="1"/>
  <c r="I37" i="12"/>
  <c r="BA68" i="13"/>
  <c r="BB68" i="13" s="1"/>
  <c r="AQ37" i="12"/>
  <c r="AR36" i="12"/>
  <c r="AN37" i="12"/>
  <c r="AO36" i="12"/>
  <c r="BD68" i="13"/>
  <c r="BE68" i="13" s="1"/>
  <c r="AV68" i="13"/>
  <c r="AW68" i="13" s="1"/>
  <c r="AS68" i="13"/>
  <c r="AT68" i="13" s="1"/>
  <c r="AN67" i="13"/>
  <c r="AO67" i="13" s="1"/>
  <c r="AK67" i="13"/>
  <c r="AL67" i="13" s="1"/>
  <c r="M54" i="9"/>
  <c r="T23" i="9"/>
  <c r="AW40" i="12" l="1"/>
  <c r="AV41" i="12"/>
  <c r="AZ40" i="12"/>
  <c r="AY41" i="12"/>
  <c r="BA69" i="13"/>
  <c r="BB69" i="13" s="1"/>
  <c r="AN38" i="12"/>
  <c r="AO37" i="12"/>
  <c r="AQ38" i="12"/>
  <c r="AR37" i="12"/>
  <c r="BD69" i="13"/>
  <c r="BE69" i="13" s="1"/>
  <c r="AS69" i="13"/>
  <c r="AT69" i="13" s="1"/>
  <c r="AV69" i="13"/>
  <c r="AW69" i="13" s="1"/>
  <c r="AN68" i="13"/>
  <c r="AO68" i="13" s="1"/>
  <c r="AK68" i="13"/>
  <c r="AL68" i="13" s="1"/>
  <c r="AL22" i="9"/>
  <c r="M55" i="9"/>
  <c r="M56" i="9" s="1"/>
  <c r="AF24" i="9"/>
  <c r="AZ41" i="12" l="1"/>
  <c r="AY42" i="12"/>
  <c r="AW41" i="12"/>
  <c r="AV42" i="12"/>
  <c r="BA70" i="13"/>
  <c r="BB70" i="13" s="1"/>
  <c r="AR38" i="12"/>
  <c r="AR26" i="12" s="1"/>
  <c r="I19" i="12" s="1"/>
  <c r="AQ39" i="12"/>
  <c r="AN39" i="12"/>
  <c r="AO38" i="12"/>
  <c r="AO26" i="12" s="1"/>
  <c r="I18" i="12" s="1"/>
  <c r="BD70" i="13"/>
  <c r="BE70" i="13" s="1"/>
  <c r="AV70" i="13"/>
  <c r="AW70" i="13" s="1"/>
  <c r="AS70" i="13"/>
  <c r="AT70" i="13" s="1"/>
  <c r="AK69" i="13"/>
  <c r="AL69" i="13" s="1"/>
  <c r="AN69" i="13"/>
  <c r="AO69" i="13" s="1"/>
  <c r="AF23" i="9"/>
  <c r="M57" i="9"/>
  <c r="M58" i="9" s="1"/>
  <c r="M59" i="9" s="1"/>
  <c r="AW42" i="12" l="1"/>
  <c r="AV43" i="12"/>
  <c r="AZ42" i="12"/>
  <c r="AY43" i="12"/>
  <c r="K18" i="12"/>
  <c r="J18" i="12"/>
  <c r="I42" i="12"/>
  <c r="I21" i="12"/>
  <c r="AO39" i="12"/>
  <c r="AN40" i="12"/>
  <c r="AR39" i="12"/>
  <c r="AQ40" i="12"/>
  <c r="I43" i="12"/>
  <c r="K43" i="12" s="1"/>
  <c r="K19" i="12"/>
  <c r="J19" i="12"/>
  <c r="J43" i="12" s="1"/>
  <c r="AN70" i="13"/>
  <c r="AO70" i="13" s="1"/>
  <c r="AK70" i="13"/>
  <c r="AL70" i="13" s="1"/>
  <c r="M60" i="9"/>
  <c r="M61" i="9" s="1"/>
  <c r="T24" i="9"/>
  <c r="AW43" i="12" l="1"/>
  <c r="AV44" i="12"/>
  <c r="AZ43" i="12"/>
  <c r="AY44" i="12"/>
  <c r="AN41" i="12"/>
  <c r="AO40" i="12"/>
  <c r="AQ41" i="12"/>
  <c r="AR40" i="12"/>
  <c r="K42" i="12"/>
  <c r="K47" i="12" s="1"/>
  <c r="I47" i="12"/>
  <c r="J42" i="12"/>
  <c r="J47" i="12" s="1"/>
  <c r="J21" i="12"/>
  <c r="K21" i="12"/>
  <c r="M62" i="9"/>
  <c r="M63" i="9" s="1"/>
  <c r="M64" i="9" s="1"/>
  <c r="M65" i="9" s="1"/>
  <c r="AF22" i="9"/>
  <c r="AZ44" i="12" l="1"/>
  <c r="AY45" i="12"/>
  <c r="AW44" i="12"/>
  <c r="AV45" i="12"/>
  <c r="AQ42" i="12"/>
  <c r="AR41" i="12"/>
  <c r="AN42" i="12"/>
  <c r="AO41" i="12"/>
  <c r="M66" i="9"/>
  <c r="M67" i="9" s="1"/>
  <c r="M68" i="9" s="1"/>
  <c r="M69" i="9" s="1"/>
  <c r="M70" i="9" s="1"/>
  <c r="M71" i="9" s="1"/>
  <c r="T25" i="9"/>
  <c r="AW45" i="12" l="1"/>
  <c r="AV46" i="12"/>
  <c r="AZ45" i="12"/>
  <c r="AY46" i="12"/>
  <c r="AO42" i="12"/>
  <c r="AN43" i="12"/>
  <c r="AQ43" i="12"/>
  <c r="AR42" i="12"/>
  <c r="T26" i="9"/>
  <c r="M72" i="9"/>
  <c r="M73" i="9" s="1"/>
  <c r="M74" i="9" s="1"/>
  <c r="M75" i="9" s="1"/>
  <c r="M76" i="9" s="1"/>
  <c r="M77" i="9" s="1"/>
  <c r="AV37" i="9"/>
  <c r="AS45" i="9" s="1"/>
  <c r="BJ33" i="9"/>
  <c r="AS37" i="9"/>
  <c r="AZ46" i="12" l="1"/>
  <c r="AY47" i="12"/>
  <c r="AW46" i="12"/>
  <c r="AV47" i="12"/>
  <c r="AR43" i="12"/>
  <c r="AQ44" i="12"/>
  <c r="AN44" i="12"/>
  <c r="AO43" i="12"/>
  <c r="M78" i="9"/>
  <c r="M79" i="9" s="1"/>
  <c r="M80" i="9" s="1"/>
  <c r="T27" i="9"/>
  <c r="AW47" i="12" l="1"/>
  <c r="AV48" i="12"/>
  <c r="AZ47" i="12"/>
  <c r="AY48" i="12"/>
  <c r="AN45" i="12"/>
  <c r="AO44" i="12"/>
  <c r="AR44" i="12"/>
  <c r="AQ45" i="12"/>
  <c r="M81" i="9"/>
  <c r="M82" i="9" s="1"/>
  <c r="M83" i="9" s="1"/>
  <c r="M84" i="9" s="1"/>
  <c r="M85" i="9" s="1"/>
  <c r="M86" i="9" s="1"/>
  <c r="M87" i="9" s="1"/>
  <c r="M88" i="9" s="1"/>
  <c r="M89" i="9" s="1"/>
  <c r="BI33" i="9"/>
  <c r="AU37" i="9"/>
  <c r="AS44" i="9" s="1"/>
  <c r="AZ48" i="12" l="1"/>
  <c r="AY49" i="12"/>
  <c r="AW48" i="12"/>
  <c r="AV49" i="12"/>
  <c r="AR45" i="12"/>
  <c r="AQ46" i="12"/>
  <c r="AN46" i="12"/>
  <c r="AO45" i="12"/>
  <c r="AT37" i="9"/>
  <c r="AS43" i="9" s="1"/>
  <c r="M90" i="9"/>
  <c r="M91" i="9" s="1"/>
  <c r="M92" i="9" s="1"/>
  <c r="M93" i="9" s="1"/>
  <c r="M94" i="9" s="1"/>
  <c r="M95" i="9" s="1"/>
  <c r="M96" i="9" s="1"/>
  <c r="M97" i="9" s="1"/>
  <c r="M98" i="9" s="1"/>
  <c r="M99" i="9" s="1"/>
  <c r="M100" i="9" s="1"/>
  <c r="M101" i="9" s="1"/>
  <c r="M102" i="9" s="1"/>
  <c r="M103" i="9" s="1"/>
  <c r="M104" i="9" s="1"/>
  <c r="M105" i="9" s="1"/>
  <c r="M106" i="9" s="1"/>
  <c r="M107" i="9" s="1"/>
  <c r="M108" i="9" s="1"/>
  <c r="M109" i="9" s="1"/>
  <c r="M110" i="9" s="1"/>
  <c r="M111" i="9" s="1"/>
  <c r="M112" i="9" s="1"/>
  <c r="M113" i="9" s="1"/>
  <c r="M114" i="9" s="1"/>
  <c r="M115" i="9" s="1"/>
  <c r="M116" i="9" s="1"/>
  <c r="M117" i="9" s="1"/>
  <c r="M118" i="9" s="1"/>
  <c r="M119" i="9" s="1"/>
  <c r="M120" i="9" s="1"/>
  <c r="M121" i="9" s="1"/>
  <c r="M122" i="9" s="1"/>
  <c r="M123" i="9" s="1"/>
  <c r="M124" i="9" s="1"/>
  <c r="M125" i="9" s="1"/>
  <c r="M126" i="9" s="1"/>
  <c r="M127" i="9" s="1"/>
  <c r="M128" i="9" s="1"/>
  <c r="M129" i="9" s="1"/>
  <c r="M130" i="9" s="1"/>
  <c r="M131" i="9" s="1"/>
  <c r="M132" i="9" s="1"/>
  <c r="M133" i="9" s="1"/>
  <c r="M134" i="9" s="1"/>
  <c r="M135" i="9" s="1"/>
  <c r="M136" i="9" s="1"/>
  <c r="M137" i="9" s="1"/>
  <c r="M138" i="9" s="1"/>
  <c r="M139" i="9" s="1"/>
  <c r="M140" i="9" s="1"/>
  <c r="M141" i="9" s="1"/>
  <c r="M142" i="9" s="1"/>
  <c r="M143" i="9" s="1"/>
  <c r="M144" i="9" s="1"/>
  <c r="M145" i="9" s="1"/>
  <c r="M146" i="9" s="1"/>
  <c r="M147" i="9" s="1"/>
  <c r="M148" i="9" s="1"/>
  <c r="M149" i="9" s="1"/>
  <c r="M150" i="9" s="1"/>
  <c r="M151" i="9" s="1"/>
  <c r="M152" i="9" s="1"/>
  <c r="M153" i="9" s="1"/>
  <c r="M154" i="9" s="1"/>
  <c r="M155" i="9" s="1"/>
  <c r="M156" i="9" s="1"/>
  <c r="M157" i="9" s="1"/>
  <c r="M158" i="9" s="1"/>
  <c r="M159" i="9" s="1"/>
  <c r="M160" i="9" s="1"/>
  <c r="M161" i="9" s="1"/>
  <c r="M162" i="9" s="1"/>
  <c r="M163" i="9" s="1"/>
  <c r="M164" i="9" s="1"/>
  <c r="M165" i="9" s="1"/>
  <c r="M166" i="9" s="1"/>
  <c r="M167" i="9" s="1"/>
  <c r="M168" i="9" s="1"/>
  <c r="M169" i="9" s="1"/>
  <c r="M170" i="9" s="1"/>
  <c r="M171" i="9" s="1"/>
  <c r="M172" i="9" s="1"/>
  <c r="M173" i="9" s="1"/>
  <c r="M174" i="9" s="1"/>
  <c r="M175" i="9" s="1"/>
  <c r="M176" i="9" s="1"/>
  <c r="M177" i="9" s="1"/>
  <c r="M178" i="9" s="1"/>
  <c r="M179" i="9" s="1"/>
  <c r="M180" i="9" s="1"/>
  <c r="M181" i="9" s="1"/>
  <c r="M182" i="9" s="1"/>
  <c r="M183" i="9" s="1"/>
  <c r="M184" i="9" s="1"/>
  <c r="M185" i="9" s="1"/>
  <c r="M186" i="9" s="1"/>
  <c r="M187" i="9" s="1"/>
  <c r="M188" i="9" s="1"/>
  <c r="M189" i="9" s="1"/>
  <c r="M190" i="9" s="1"/>
  <c r="M191" i="9" s="1"/>
  <c r="M192" i="9" s="1"/>
  <c r="M193" i="9" s="1"/>
  <c r="M194" i="9" s="1"/>
  <c r="M195" i="9" s="1"/>
  <c r="M196" i="9" s="1"/>
  <c r="M197" i="9" s="1"/>
  <c r="M198" i="9" s="1"/>
  <c r="M199" i="9" s="1"/>
  <c r="M200" i="9" s="1"/>
  <c r="M201" i="9" s="1"/>
  <c r="M202" i="9" s="1"/>
  <c r="M203" i="9" s="1"/>
  <c r="M204" i="9" s="1"/>
  <c r="M205" i="9" s="1"/>
  <c r="M206" i="9" s="1"/>
  <c r="M207" i="9" s="1"/>
  <c r="M208" i="9" s="1"/>
  <c r="M209" i="9" s="1"/>
  <c r="M210" i="9" s="1"/>
  <c r="M211" i="9" s="1"/>
  <c r="M212" i="9" s="1"/>
  <c r="M213" i="9" s="1"/>
  <c r="M214" i="9" s="1"/>
  <c r="M215" i="9" s="1"/>
  <c r="M216" i="9" s="1"/>
  <c r="M217" i="9" s="1"/>
  <c r="M218" i="9" s="1"/>
  <c r="M219" i="9" s="1"/>
  <c r="M220" i="9" s="1"/>
  <c r="M221" i="9" s="1"/>
  <c r="M222" i="9" s="1"/>
  <c r="M223" i="9" s="1"/>
  <c r="M224" i="9" s="1"/>
  <c r="M225" i="9" s="1"/>
  <c r="M226" i="9" s="1"/>
  <c r="M227" i="9" s="1"/>
  <c r="M228" i="9" s="1"/>
  <c r="M229" i="9" s="1"/>
  <c r="M230" i="9" s="1"/>
  <c r="M231" i="9" s="1"/>
  <c r="M232" i="9" s="1"/>
  <c r="M233" i="9" s="1"/>
  <c r="M234" i="9" s="1"/>
  <c r="M235" i="9" s="1"/>
  <c r="M236" i="9" s="1"/>
  <c r="M237" i="9" s="1"/>
  <c r="M238" i="9" s="1"/>
  <c r="M239" i="9" s="1"/>
  <c r="M240" i="9" s="1"/>
  <c r="M241" i="9" s="1"/>
  <c r="M242" i="9" s="1"/>
  <c r="M243" i="9" s="1"/>
  <c r="M244" i="9" s="1"/>
  <c r="M245" i="9" s="1"/>
  <c r="M246" i="9" s="1"/>
  <c r="M247" i="9" s="1"/>
  <c r="M248" i="9" s="1"/>
  <c r="M249" i="9" s="1"/>
  <c r="M250" i="9" s="1"/>
  <c r="M251" i="9" s="1"/>
  <c r="M252" i="9" s="1"/>
  <c r="M253" i="9" s="1"/>
  <c r="M254" i="9" s="1"/>
  <c r="M255" i="9" s="1"/>
  <c r="M256" i="9" s="1"/>
  <c r="M257" i="9" s="1"/>
  <c r="M258" i="9" s="1"/>
  <c r="M259" i="9" s="1"/>
  <c r="M260" i="9" s="1"/>
  <c r="M261" i="9" s="1"/>
  <c r="M262" i="9" s="1"/>
  <c r="M263" i="9" s="1"/>
  <c r="M264" i="9" s="1"/>
  <c r="M265" i="9" s="1"/>
  <c r="M266" i="9" s="1"/>
  <c r="M267" i="9" s="1"/>
  <c r="M268" i="9" s="1"/>
  <c r="M269" i="9" s="1"/>
  <c r="M270" i="9" s="1"/>
  <c r="M271" i="9" s="1"/>
  <c r="M272" i="9" s="1"/>
  <c r="M273" i="9" s="1"/>
  <c r="M274" i="9" s="1"/>
  <c r="M275" i="9" s="1"/>
  <c r="M276" i="9" s="1"/>
  <c r="M277" i="9" s="1"/>
  <c r="M278" i="9" s="1"/>
  <c r="M279" i="9" s="1"/>
  <c r="M280" i="9" s="1"/>
  <c r="M281" i="9" s="1"/>
  <c r="M282" i="9" s="1"/>
  <c r="M283" i="9" s="1"/>
  <c r="M284" i="9" s="1"/>
  <c r="M285" i="9" s="1"/>
  <c r="M286" i="9" s="1"/>
  <c r="M287" i="9" s="1"/>
  <c r="M288" i="9" s="1"/>
  <c r="M289" i="9" s="1"/>
  <c r="M290" i="9" s="1"/>
  <c r="M291" i="9" s="1"/>
  <c r="M292" i="9" s="1"/>
  <c r="M293" i="9" s="1"/>
  <c r="M294" i="9" s="1"/>
  <c r="M295" i="9" s="1"/>
  <c r="M296" i="9" s="1"/>
  <c r="M297" i="9" s="1"/>
  <c r="M298" i="9" s="1"/>
  <c r="M299" i="9" s="1"/>
  <c r="M300" i="9" s="1"/>
  <c r="M301" i="9" s="1"/>
  <c r="M302" i="9" s="1"/>
  <c r="M303" i="9" s="1"/>
  <c r="M304" i="9" s="1"/>
  <c r="M305" i="9" s="1"/>
  <c r="M306" i="9" s="1"/>
  <c r="M307" i="9" s="1"/>
  <c r="M308" i="9" s="1"/>
  <c r="M309" i="9" s="1"/>
  <c r="M310" i="9" s="1"/>
  <c r="M311" i="9" s="1"/>
  <c r="M312" i="9" s="1"/>
  <c r="M313" i="9" s="1"/>
  <c r="M314" i="9" s="1"/>
  <c r="M315" i="9" s="1"/>
  <c r="M316" i="9" s="1"/>
  <c r="M317" i="9" s="1"/>
  <c r="M318" i="9" s="1"/>
  <c r="M319" i="9" s="1"/>
  <c r="M320" i="9" s="1"/>
  <c r="M321" i="9" s="1"/>
  <c r="M322" i="9" s="1"/>
  <c r="M323" i="9" s="1"/>
  <c r="M324" i="9" s="1"/>
  <c r="M325" i="9" s="1"/>
  <c r="M326" i="9" s="1"/>
  <c r="M327" i="9" s="1"/>
  <c r="M328" i="9" s="1"/>
  <c r="M329" i="9" s="1"/>
  <c r="M330" i="9" s="1"/>
  <c r="M331" i="9" s="1"/>
  <c r="M332" i="9" s="1"/>
  <c r="M333" i="9" s="1"/>
  <c r="M334" i="9" s="1"/>
  <c r="M335" i="9" s="1"/>
  <c r="M336" i="9" s="1"/>
  <c r="M337" i="9" s="1"/>
  <c r="M338" i="9" s="1"/>
  <c r="M339" i="9" s="1"/>
  <c r="M340" i="9" s="1"/>
  <c r="M341" i="9" s="1"/>
  <c r="M342" i="9" s="1"/>
  <c r="M343" i="9" s="1"/>
  <c r="M344" i="9" s="1"/>
  <c r="M345" i="9" s="1"/>
  <c r="M346" i="9" s="1"/>
  <c r="M347" i="9" s="1"/>
  <c r="M348" i="9" s="1"/>
  <c r="M349" i="9" s="1"/>
  <c r="M350" i="9" s="1"/>
  <c r="M351" i="9" s="1"/>
  <c r="M352" i="9" s="1"/>
  <c r="M353" i="9" s="1"/>
  <c r="M354" i="9" s="1"/>
  <c r="M355" i="9" s="1"/>
  <c r="M356" i="9" s="1"/>
  <c r="M357" i="9" s="1"/>
  <c r="M358" i="9" s="1"/>
  <c r="M359" i="9" s="1"/>
  <c r="M360" i="9" s="1"/>
  <c r="M361" i="9" s="1"/>
  <c r="M362" i="9" s="1"/>
  <c r="M363" i="9" s="1"/>
  <c r="M364" i="9" s="1"/>
  <c r="M365" i="9" s="1"/>
  <c r="M366" i="9" s="1"/>
  <c r="M367" i="9" s="1"/>
  <c r="M368" i="9" s="1"/>
  <c r="M369" i="9" s="1"/>
  <c r="M370" i="9" s="1"/>
  <c r="M371" i="9" s="1"/>
  <c r="M372" i="9" s="1"/>
  <c r="M373" i="9" s="1"/>
  <c r="M374" i="9" s="1"/>
  <c r="M375" i="9" s="1"/>
  <c r="M376" i="9" s="1"/>
  <c r="M377" i="9" s="1"/>
  <c r="M378" i="9" s="1"/>
  <c r="M379" i="9" s="1"/>
  <c r="M380" i="9" s="1"/>
  <c r="M381" i="9" s="1"/>
  <c r="M382" i="9" s="1"/>
  <c r="M383" i="9" s="1"/>
  <c r="M384" i="9" s="1"/>
  <c r="M385" i="9" s="1"/>
  <c r="M386" i="9" s="1"/>
  <c r="M387" i="9" s="1"/>
  <c r="M388" i="9" s="1"/>
  <c r="M389" i="9" s="1"/>
  <c r="M390" i="9" s="1"/>
  <c r="M391" i="9" s="1"/>
  <c r="M392" i="9" s="1"/>
  <c r="M393" i="9" s="1"/>
  <c r="M394" i="9" s="1"/>
  <c r="M395" i="9" s="1"/>
  <c r="M396" i="9" s="1"/>
  <c r="M397" i="9" s="1"/>
  <c r="M398" i="9" s="1"/>
  <c r="M399" i="9" s="1"/>
  <c r="M400" i="9" s="1"/>
  <c r="M401" i="9" s="1"/>
  <c r="M402" i="9" s="1"/>
  <c r="M403" i="9" s="1"/>
  <c r="BH33" i="9"/>
  <c r="AW49" i="12" l="1"/>
  <c r="AV50" i="12"/>
  <c r="AZ49" i="12"/>
  <c r="AY50" i="12"/>
  <c r="AO46" i="12"/>
  <c r="AN47" i="12"/>
  <c r="AQ47" i="12"/>
  <c r="AR46" i="12"/>
  <c r="AZ50" i="12" l="1"/>
  <c r="AY51" i="12"/>
  <c r="AW50" i="12"/>
  <c r="AV51" i="12"/>
  <c r="AR47" i="12"/>
  <c r="AQ48" i="12"/>
  <c r="AN48" i="12"/>
  <c r="AO47" i="12"/>
  <c r="AW51" i="12" l="1"/>
  <c r="AV52" i="12"/>
  <c r="AZ51" i="12"/>
  <c r="AY52" i="12"/>
  <c r="AN49" i="12"/>
  <c r="AO48" i="12"/>
  <c r="AR48" i="12"/>
  <c r="AQ49" i="12"/>
  <c r="AZ52" i="12" l="1"/>
  <c r="AY53" i="12"/>
  <c r="AW52" i="12"/>
  <c r="AV53" i="12"/>
  <c r="AR49" i="12"/>
  <c r="AQ50" i="12"/>
  <c r="AO49" i="12"/>
  <c r="AN50" i="12"/>
  <c r="AW53" i="12" l="1"/>
  <c r="AV54" i="12"/>
  <c r="AZ53" i="12"/>
  <c r="AY54" i="12"/>
  <c r="AN51" i="12"/>
  <c r="AO50" i="12"/>
  <c r="AR50" i="12"/>
  <c r="AQ51" i="12"/>
  <c r="AZ54" i="12" l="1"/>
  <c r="AY55" i="12"/>
  <c r="AW54" i="12"/>
  <c r="AV55" i="12"/>
  <c r="AR51" i="12"/>
  <c r="AQ52" i="12"/>
  <c r="AN52" i="12"/>
  <c r="AO51" i="12"/>
  <c r="AW55" i="12" l="1"/>
  <c r="AV56" i="12"/>
  <c r="AZ55" i="12"/>
  <c r="AY56" i="12"/>
  <c r="AN53" i="12"/>
  <c r="AO52" i="12"/>
  <c r="AR52" i="12"/>
  <c r="AQ53" i="12"/>
  <c r="AZ56" i="12" l="1"/>
  <c r="AY57" i="12"/>
  <c r="AW56" i="12"/>
  <c r="AV57" i="12"/>
  <c r="AR53" i="12"/>
  <c r="AQ54" i="12"/>
  <c r="AN54" i="12"/>
  <c r="AO53" i="12"/>
  <c r="AW57" i="12" l="1"/>
  <c r="AV58" i="12"/>
  <c r="AZ57" i="12"/>
  <c r="AY58" i="12"/>
  <c r="AO54" i="12"/>
  <c r="AN55" i="12"/>
  <c r="AQ55" i="12"/>
  <c r="AR54" i="12"/>
  <c r="AZ58" i="12" l="1"/>
  <c r="AY59" i="12"/>
  <c r="AW58" i="12"/>
  <c r="AV59" i="12"/>
  <c r="AQ56" i="12"/>
  <c r="AR55" i="12"/>
  <c r="AN56" i="12"/>
  <c r="AO55" i="12"/>
  <c r="AW59" i="12" l="1"/>
  <c r="AV60" i="12"/>
  <c r="AZ59" i="12"/>
  <c r="AY60" i="12"/>
  <c r="AN57" i="12"/>
  <c r="AO56" i="12"/>
  <c r="AR56" i="12"/>
  <c r="AQ57" i="12"/>
  <c r="AW60" i="12" l="1"/>
  <c r="AV61" i="12"/>
  <c r="AZ60" i="12"/>
  <c r="AY61" i="12"/>
  <c r="AR57" i="12"/>
  <c r="AQ58" i="12"/>
  <c r="AN58" i="12"/>
  <c r="AO57" i="12"/>
  <c r="AW61" i="12" l="1"/>
  <c r="AV62" i="12"/>
  <c r="AZ61" i="12"/>
  <c r="AY62" i="12"/>
  <c r="AN59" i="12"/>
  <c r="AO58" i="12"/>
  <c r="AR58" i="12"/>
  <c r="AQ59" i="12"/>
  <c r="AW62" i="12" l="1"/>
  <c r="AV63" i="12"/>
  <c r="AZ62" i="12"/>
  <c r="AY63" i="12"/>
  <c r="AR59" i="12"/>
  <c r="AQ60" i="12"/>
  <c r="AN60" i="12"/>
  <c r="AO59" i="12"/>
  <c r="AW63" i="12" l="1"/>
  <c r="AV64" i="12"/>
  <c r="AZ63" i="12"/>
  <c r="AY64" i="12"/>
  <c r="AN61" i="12"/>
  <c r="AO60" i="12"/>
  <c r="AR60" i="12"/>
  <c r="AQ61" i="12"/>
  <c r="AZ64" i="12" l="1"/>
  <c r="AY65" i="12"/>
  <c r="AW64" i="12"/>
  <c r="AV65" i="12"/>
  <c r="AQ62" i="12"/>
  <c r="AR61" i="12"/>
  <c r="AO61" i="12"/>
  <c r="AN62" i="12"/>
  <c r="AW65" i="12" l="1"/>
  <c r="AV66" i="12"/>
  <c r="AZ65" i="12"/>
  <c r="AY66" i="12"/>
  <c r="AN63" i="12"/>
  <c r="AO62" i="12"/>
  <c r="AR62" i="12"/>
  <c r="AQ63" i="12"/>
  <c r="AW66" i="12" l="1"/>
  <c r="AV67" i="12"/>
  <c r="AZ66" i="12"/>
  <c r="AY67" i="12"/>
  <c r="AQ64" i="12"/>
  <c r="AR63" i="12"/>
  <c r="AN64" i="12"/>
  <c r="AO63" i="12"/>
  <c r="AZ67" i="12" l="1"/>
  <c r="AY68" i="12"/>
  <c r="AW67" i="12"/>
  <c r="AV68" i="12"/>
  <c r="AN65" i="12"/>
  <c r="AO64" i="12"/>
  <c r="AQ65" i="12"/>
  <c r="AR64" i="12"/>
  <c r="AW68" i="12" l="1"/>
  <c r="AV69" i="12"/>
  <c r="AZ68" i="12"/>
  <c r="AY69" i="12"/>
  <c r="AQ66" i="12"/>
  <c r="AR65" i="12"/>
  <c r="AN66" i="12"/>
  <c r="AO65" i="12"/>
  <c r="AZ69" i="12" l="1"/>
  <c r="AY70" i="12"/>
  <c r="AW69" i="12"/>
  <c r="AV70" i="12"/>
  <c r="AN67" i="12"/>
  <c r="AO66" i="12"/>
  <c r="AR66" i="12"/>
  <c r="AQ67" i="12"/>
  <c r="AW70" i="12" l="1"/>
  <c r="AV71" i="12"/>
  <c r="AZ70" i="12"/>
  <c r="AY71" i="12"/>
  <c r="AR67" i="12"/>
  <c r="AQ68" i="12"/>
  <c r="AN68" i="12"/>
  <c r="AO67" i="12"/>
  <c r="AZ71" i="12" l="1"/>
  <c r="AY72" i="12"/>
  <c r="AW71" i="12"/>
  <c r="AV72" i="12"/>
  <c r="AN69" i="12"/>
  <c r="AO68" i="12"/>
  <c r="AR68" i="12"/>
  <c r="AQ69" i="12"/>
  <c r="AW72" i="12" l="1"/>
  <c r="AV73" i="12"/>
  <c r="AZ72" i="12"/>
  <c r="AY73" i="12"/>
  <c r="AR69" i="12"/>
  <c r="AQ70" i="12"/>
  <c r="AN70" i="12"/>
  <c r="AO69" i="12"/>
  <c r="AW73" i="12" l="1"/>
  <c r="AV74" i="12"/>
  <c r="AZ73" i="12"/>
  <c r="AY74" i="12"/>
  <c r="AO70" i="12"/>
  <c r="AN71" i="12"/>
  <c r="AQ71" i="12"/>
  <c r="AR70" i="12"/>
  <c r="AW74" i="12" l="1"/>
  <c r="AV75" i="12"/>
  <c r="AZ74" i="12"/>
  <c r="AY75" i="12"/>
  <c r="AQ72" i="12"/>
  <c r="AR71" i="12"/>
  <c r="AN72" i="12"/>
  <c r="AO71" i="12"/>
  <c r="AZ75" i="12" l="1"/>
  <c r="AY76" i="12"/>
  <c r="AW75" i="12"/>
  <c r="AV76" i="12"/>
  <c r="AO72" i="12"/>
  <c r="AN73" i="12"/>
  <c r="AR72" i="12"/>
  <c r="AQ73" i="12"/>
  <c r="AW76" i="12" l="1"/>
  <c r="AV77" i="12"/>
  <c r="AZ76" i="12"/>
  <c r="AY77" i="12"/>
  <c r="AR73" i="12"/>
  <c r="AQ74" i="12"/>
  <c r="AN74" i="12"/>
  <c r="AO73" i="12"/>
  <c r="AZ77" i="12" l="1"/>
  <c r="AY78" i="12"/>
  <c r="AW77" i="12"/>
  <c r="AV78" i="12"/>
  <c r="AN75" i="12"/>
  <c r="AO74" i="12"/>
  <c r="AR74" i="12"/>
  <c r="AQ75" i="12"/>
  <c r="AW78" i="12" l="1"/>
  <c r="AV79" i="12"/>
  <c r="AW79" i="12" s="1"/>
  <c r="AZ78" i="12"/>
  <c r="AY79" i="12"/>
  <c r="AZ79" i="12" s="1"/>
  <c r="AQ76" i="12"/>
  <c r="AR75" i="12"/>
  <c r="AN76" i="12"/>
  <c r="AO75" i="12"/>
  <c r="AN77" i="12" l="1"/>
  <c r="AO76" i="12"/>
  <c r="AR76" i="12"/>
  <c r="AQ77" i="12"/>
  <c r="AQ78" i="12" l="1"/>
  <c r="AR77" i="12"/>
  <c r="AN78" i="12"/>
  <c r="AO77" i="12"/>
  <c r="AN79" i="12" l="1"/>
  <c r="AO79" i="12" s="1"/>
  <c r="AO78" i="12"/>
  <c r="AR78" i="12"/>
  <c r="AQ79" i="12"/>
  <c r="AR79" i="12" s="1"/>
</calcChain>
</file>

<file path=xl/metadata.xml><?xml version="1.0" encoding="utf-8"?>
<metadata xmlns="http://schemas.openxmlformats.org/spreadsheetml/2006/main" xmlns:xda="http://schemas.microsoft.com/office/spreadsheetml/2017/dynamicarray">
  <metadataTypes count="1">
    <metadataType name="XLDAPR" minSupportedVersion="120000" copy="1" pasteAll="1" pasteValues="1" merge="1" splitFirst="1" rowColShift="1" clearFormats="1" clearComments="1" assign="1" coerce="1" cellMeta="1"/>
  </metadataTypes>
  <futureMetadata name="XLDAPR" count="1">
    <bk>
      <extLst>
        <ext uri="{bdbb8cdc-fa1e-496e-a857-3c3f30c029c3}">
          <xda:dynamicArrayProperties fDynamic="1" fCollapsed="0"/>
        </ext>
      </extLst>
    </bk>
  </futureMetadata>
  <cellMetadata count="1">
    <bk>
      <rc t="1" v="0"/>
    </bk>
  </cellMetadata>
</metadata>
</file>

<file path=xl/sharedStrings.xml><?xml version="1.0" encoding="utf-8"?>
<sst xmlns="http://schemas.openxmlformats.org/spreadsheetml/2006/main" count="974" uniqueCount="473">
  <si>
    <t>Northern</t>
  </si>
  <si>
    <t>Illinois</t>
  </si>
  <si>
    <t>Central</t>
  </si>
  <si>
    <t>Southern</t>
  </si>
  <si>
    <t>Source:  Seimens, John, S10 Machinery Evaluation Program</t>
  </si>
  <si>
    <t>Begin</t>
  </si>
  <si>
    <t>End</t>
  </si>
  <si>
    <t xml:space="preserve">      --- Begin Date --</t>
  </si>
  <si>
    <t>1 Workday occurs when you can complete tillage operations.</t>
  </si>
  <si>
    <t xml:space="preserve">  A 51% means that 51 percent of the time a day a work day.</t>
  </si>
  <si>
    <t>Workdays between:</t>
  </si>
  <si>
    <t>Beginning date</t>
  </si>
  <si>
    <t>end date</t>
  </si>
  <si>
    <t>Chance</t>
  </si>
  <si>
    <t xml:space="preserve">       Workdays between:</t>
  </si>
  <si>
    <t>End date</t>
  </si>
  <si>
    <t xml:space="preserve">        Average work days</t>
  </si>
  <si>
    <t xml:space="preserve">        Total days between begin and </t>
  </si>
  <si>
    <t>days</t>
  </si>
  <si>
    <t>Location</t>
  </si>
  <si>
    <t>prob</t>
  </si>
  <si>
    <t>cum</t>
  </si>
  <si>
    <t>No. of Workdays</t>
  </si>
  <si>
    <t>Rows</t>
  </si>
  <si>
    <t>No. of row</t>
  </si>
  <si>
    <t>Hours worked</t>
  </si>
  <si>
    <t>Field efficiency</t>
  </si>
  <si>
    <t>inch</t>
  </si>
  <si>
    <t>Speed</t>
  </si>
  <si>
    <t>per day</t>
  </si>
  <si>
    <t>Acres</t>
  </si>
  <si>
    <t>percent</t>
  </si>
  <si>
    <t>no.</t>
  </si>
  <si>
    <t xml:space="preserve">mph. </t>
  </si>
  <si>
    <t>Chance of completing work</t>
  </si>
  <si>
    <r>
      <t>Table 1.  Percent Chance of Each Day Being a Workday</t>
    </r>
    <r>
      <rPr>
        <b/>
        <vertAlign val="superscript"/>
        <sz val="10"/>
        <rFont val="Arial"/>
        <family val="2"/>
      </rPr>
      <t>1</t>
    </r>
    <r>
      <rPr>
        <b/>
        <sz val="10"/>
        <rFont val="Arial"/>
        <family val="2"/>
      </rPr>
      <t>.</t>
    </r>
  </si>
  <si>
    <t>Acres per hour</t>
  </si>
  <si>
    <t>Acres per day</t>
  </si>
  <si>
    <t>Planter</t>
  </si>
  <si>
    <t>Workdays to complete</t>
  </si>
  <si>
    <t xml:space="preserve">Chance of completing work </t>
  </si>
  <si>
    <t xml:space="preserve">                  between dates</t>
  </si>
  <si>
    <t>8 row</t>
  </si>
  <si>
    <t>12 row</t>
  </si>
  <si>
    <t>16 row</t>
  </si>
  <si>
    <t>24 row</t>
  </si>
  <si>
    <t>Drill</t>
  </si>
  <si>
    <t>Width</t>
  </si>
  <si>
    <t>feet</t>
  </si>
  <si>
    <t xml:space="preserve">             between dates</t>
  </si>
  <si>
    <t>15 ft</t>
  </si>
  <si>
    <t>20 ft</t>
  </si>
  <si>
    <t>25 ft</t>
  </si>
  <si>
    <t>30 ft</t>
  </si>
  <si>
    <t>Combine</t>
  </si>
  <si>
    <t>Corn head</t>
  </si>
  <si>
    <t>Row width</t>
  </si>
  <si>
    <t>Soybean head</t>
  </si>
  <si>
    <t>Soybeans</t>
  </si>
  <si>
    <t>in</t>
  </si>
  <si>
    <t>mph</t>
  </si>
  <si>
    <t>Corn</t>
  </si>
  <si>
    <t>Total workdays</t>
  </si>
  <si>
    <t>12 row (corn) / 30 ft platform</t>
  </si>
  <si>
    <t>8 row (corn) / 25 ft platform</t>
  </si>
  <si>
    <t>6 row (corn) / 20 ft platform</t>
  </si>
  <si>
    <t>Estimated engine hours</t>
  </si>
  <si>
    <t xml:space="preserve">      Suggestions</t>
  </si>
  <si>
    <t>Other</t>
  </si>
  <si>
    <t xml:space="preserve">              between dates</t>
  </si>
  <si>
    <t xml:space="preserve">       Suggestions</t>
  </si>
  <si>
    <t xml:space="preserve"> </t>
  </si>
  <si>
    <t xml:space="preserve">          Suggestions</t>
  </si>
  <si>
    <t>tractor</t>
  </si>
  <si>
    <t>List</t>
  </si>
  <si>
    <t>price</t>
  </si>
  <si>
    <t>Hp</t>
  </si>
  <si>
    <t>Years</t>
  </si>
  <si>
    <t>of</t>
  </si>
  <si>
    <t>life</t>
  </si>
  <si>
    <t>Purchase price</t>
  </si>
  <si>
    <t>% of list price</t>
  </si>
  <si>
    <t>Interest rate</t>
  </si>
  <si>
    <t>% of remaining value</t>
  </si>
  <si>
    <t>Housing, insurance</t>
  </si>
  <si>
    <t xml:space="preserve">$ per gallon </t>
  </si>
  <si>
    <t>Lubrication cost</t>
  </si>
  <si>
    <t>% of fuel cost</t>
  </si>
  <si>
    <t>per year</t>
  </si>
  <si>
    <t>Labor cost</t>
  </si>
  <si>
    <t>$ per hour</t>
  </si>
  <si>
    <t>Labor time</t>
  </si>
  <si>
    <t>% of tractor time</t>
  </si>
  <si>
    <t>Diesel fuel cost</t>
  </si>
  <si>
    <t>Tractor</t>
  </si>
  <si>
    <t>Tractor type</t>
  </si>
  <si>
    <t>List price</t>
  </si>
  <si>
    <t>Hours of use</t>
  </si>
  <si>
    <t>Depreciation</t>
  </si>
  <si>
    <t>Interest</t>
  </si>
  <si>
    <t>Repairs</t>
  </si>
  <si>
    <t>Fuel and lubrication</t>
  </si>
  <si>
    <t>Labor</t>
  </si>
  <si>
    <t>Per</t>
  </si>
  <si>
    <t>Year</t>
  </si>
  <si>
    <t xml:space="preserve">Per </t>
  </si>
  <si>
    <t>Hour</t>
  </si>
  <si>
    <t>Total</t>
  </si>
  <si>
    <t>Item</t>
  </si>
  <si>
    <t>Tractor costs</t>
  </si>
  <si>
    <t>Implement</t>
  </si>
  <si>
    <t>28 ft.</t>
  </si>
  <si>
    <t>7 bottom</t>
  </si>
  <si>
    <t>8-row</t>
  </si>
  <si>
    <t>12-row</t>
  </si>
  <si>
    <t>16-row</t>
  </si>
  <si>
    <t>24-row</t>
  </si>
  <si>
    <t>Field Sprayer</t>
  </si>
  <si>
    <t>Field</t>
  </si>
  <si>
    <t xml:space="preserve">    -- Hours of Use --</t>
  </si>
  <si>
    <t>Imp</t>
  </si>
  <si>
    <t>Price</t>
  </si>
  <si>
    <t>(feet)</t>
  </si>
  <si>
    <t>efficiency</t>
  </si>
  <si>
    <t>Load</t>
  </si>
  <si>
    <t>Low</t>
  </si>
  <si>
    <t>Med</t>
  </si>
  <si>
    <t>High</t>
  </si>
  <si>
    <t>yrs/life</t>
  </si>
  <si>
    <t>No.</t>
  </si>
  <si>
    <t>Implement/size</t>
  </si>
  <si>
    <t>Suggested h.p.</t>
  </si>
  <si>
    <t>$</t>
  </si>
  <si>
    <t>m.p.h.</t>
  </si>
  <si>
    <t>p.t.o. h.p.</t>
  </si>
  <si>
    <t>Acre</t>
  </si>
  <si>
    <t>per hour</t>
  </si>
  <si>
    <t>Average ending date</t>
  </si>
  <si>
    <t>Planter/Drill (One working at a time)</t>
  </si>
  <si>
    <t>Machine</t>
  </si>
  <si>
    <t>between dates with</t>
  </si>
  <si>
    <t>between dates with:</t>
  </si>
  <si>
    <t>Planter/drill</t>
  </si>
  <si>
    <t>Horsepower</t>
  </si>
  <si>
    <t>Head</t>
  </si>
  <si>
    <t>Grain</t>
  </si>
  <si>
    <t>Size</t>
  </si>
  <si>
    <t xml:space="preserve">Grain </t>
  </si>
  <si>
    <t>Platform</t>
  </si>
  <si>
    <t>(without</t>
  </si>
  <si>
    <t>heads)</t>
  </si>
  <si>
    <t>Main input</t>
  </si>
  <si>
    <t>Fuel and lub</t>
  </si>
  <si>
    <t xml:space="preserve">Labor </t>
  </si>
  <si>
    <t>Yearly Use and Costs</t>
  </si>
  <si>
    <t xml:space="preserve">  Total Costs</t>
  </si>
  <si>
    <t>Insurance, house</t>
  </si>
  <si>
    <t>Per Acre Use and Costs</t>
  </si>
  <si>
    <t>Average</t>
  </si>
  <si>
    <t>Description</t>
  </si>
  <si>
    <t>Cost</t>
  </si>
  <si>
    <t>Per Acre</t>
  </si>
  <si>
    <t>Sensitivity of average per acre costs to total acres harvested</t>
  </si>
  <si>
    <t xml:space="preserve">Your Excel security settings must be changed to use FAST Tools.  Using the Excel menu commands, </t>
  </si>
  <si>
    <t>perform the following steps to change your settings. These steps will only need to be performed once to</t>
  </si>
  <si>
    <t>run FAST tools.</t>
  </si>
  <si>
    <t>1. Reset Security Settings, select</t>
  </si>
  <si>
    <t>2. Close this Excel workbook, select</t>
  </si>
  <si>
    <t>Do not save changes</t>
  </si>
  <si>
    <t xml:space="preserve">3. Reopen the Workbook via FAST menu or </t>
  </si>
  <si>
    <t>"click on spreadsheet name"</t>
  </si>
  <si>
    <t>4. Click on Enable Macros when you see the dialog box similar to the one below.</t>
  </si>
  <si>
    <t xml:space="preserve">For recent updates on this tool and other FAST tools, </t>
  </si>
  <si>
    <t>visit us at www.farmdoc.uiuc.edu.</t>
  </si>
  <si>
    <t>Updated: 9/14/2004</t>
  </si>
  <si>
    <r>
      <t>T</t>
    </r>
    <r>
      <rPr>
        <sz val="10"/>
        <color indexed="12"/>
        <rFont val="Arial"/>
        <family val="2"/>
      </rPr>
      <t>ools</t>
    </r>
  </si>
  <si>
    <r>
      <t>M</t>
    </r>
    <r>
      <rPr>
        <sz val="10"/>
        <color indexed="12"/>
        <rFont val="Arial"/>
        <family val="2"/>
      </rPr>
      <t>acro</t>
    </r>
  </si>
  <si>
    <r>
      <t>S</t>
    </r>
    <r>
      <rPr>
        <sz val="10"/>
        <color indexed="12"/>
        <rFont val="Arial"/>
        <family val="2"/>
      </rPr>
      <t>ecurity</t>
    </r>
  </si>
  <si>
    <r>
      <t>M</t>
    </r>
    <r>
      <rPr>
        <sz val="10"/>
        <color indexed="12"/>
        <rFont val="Arial"/>
        <family val="2"/>
      </rPr>
      <t>edium</t>
    </r>
  </si>
  <si>
    <r>
      <t>F</t>
    </r>
    <r>
      <rPr>
        <sz val="10"/>
        <color indexed="12"/>
        <rFont val="Arial"/>
        <family val="2"/>
      </rPr>
      <t>ile</t>
    </r>
  </si>
  <si>
    <r>
      <t>C</t>
    </r>
    <r>
      <rPr>
        <sz val="10"/>
        <color indexed="12"/>
        <rFont val="Arial"/>
        <family val="2"/>
      </rPr>
      <t>lose</t>
    </r>
  </si>
  <si>
    <r>
      <t>O</t>
    </r>
    <r>
      <rPr>
        <sz val="10"/>
        <color indexed="12"/>
        <rFont val="Arial"/>
        <family val="2"/>
      </rPr>
      <t>pen</t>
    </r>
  </si>
  <si>
    <t>Machinery Economics</t>
  </si>
  <si>
    <t>List price when new</t>
  </si>
  <si>
    <t>Current age</t>
  </si>
  <si>
    <t>Salvage value</t>
  </si>
  <si>
    <t>Years before sold</t>
  </si>
  <si>
    <t>% of list</t>
  </si>
  <si>
    <t>% of RV</t>
  </si>
  <si>
    <t>$/gal.</t>
  </si>
  <si>
    <t>% of fuel</t>
  </si>
  <si>
    <t xml:space="preserve">    time</t>
  </si>
  <si>
    <t>% field</t>
  </si>
  <si>
    <t>years</t>
  </si>
  <si>
    <t>Implement Costs</t>
  </si>
  <si>
    <t>Fuel use per hour</t>
  </si>
  <si>
    <t>Intermediate implement values</t>
  </si>
  <si>
    <t>Intermediate tractor values</t>
  </si>
  <si>
    <t>p.t.o.</t>
  </si>
  <si>
    <t>Implement and Tractor costs</t>
  </si>
  <si>
    <t>Chisel plow</t>
  </si>
  <si>
    <t>36 ft.</t>
  </si>
  <si>
    <t>Moldboard plow</t>
  </si>
  <si>
    <t>6 bottom</t>
  </si>
  <si>
    <t xml:space="preserve">9 bottom </t>
  </si>
  <si>
    <t>10 bottom</t>
  </si>
  <si>
    <t>Offset disk</t>
  </si>
  <si>
    <t>Field cultivator</t>
  </si>
  <si>
    <t>Tandem disk</t>
  </si>
  <si>
    <t>6-row</t>
  </si>
  <si>
    <t>32-row</t>
  </si>
  <si>
    <t>36-row</t>
  </si>
  <si>
    <t>FIELD OPERATION COST CALCULATION TOOL</t>
  </si>
  <si>
    <t>Repair costs per year</t>
  </si>
  <si>
    <t>$/hour</t>
  </si>
  <si>
    <t>Speed (miles per hour)</t>
  </si>
  <si>
    <t>Acres per year</t>
  </si>
  <si>
    <t>Engine hours per year</t>
  </si>
  <si>
    <t>Width in feet</t>
  </si>
  <si>
    <t>Repairs per year</t>
  </si>
  <si>
    <t>Fuel use per acre</t>
  </si>
  <si>
    <t>Combine/header input</t>
  </si>
  <si>
    <t>Separator</t>
  </si>
  <si>
    <t>Intermediate values</t>
  </si>
  <si>
    <t>Separator hours per year</t>
  </si>
  <si>
    <t>a</t>
  </si>
  <si>
    <t>Tractor input</t>
  </si>
  <si>
    <t>Implement input</t>
  </si>
  <si>
    <t>Implement and tractor input</t>
  </si>
  <si>
    <r>
      <t xml:space="preserve">     </t>
    </r>
    <r>
      <rPr>
        <b/>
        <sz val="10"/>
        <rFont val="Arial"/>
        <family val="2"/>
      </rPr>
      <t>COMBINE COST CALCULATION TOOL</t>
    </r>
  </si>
  <si>
    <t>% corn</t>
  </si>
  <si>
    <t>Field condition input</t>
  </si>
  <si>
    <t>Crop</t>
  </si>
  <si>
    <t>Length or rows</t>
  </si>
  <si>
    <t>Yield</t>
  </si>
  <si>
    <t>Combine Input</t>
  </si>
  <si>
    <t>End row turning time</t>
  </si>
  <si>
    <t>Size of grain tank</t>
  </si>
  <si>
    <t>Grain tank unload speed</t>
  </si>
  <si>
    <t xml:space="preserve">  minutes</t>
  </si>
  <si>
    <t xml:space="preserve">  bu.</t>
  </si>
  <si>
    <t xml:space="preserve">  bu. per second</t>
  </si>
  <si>
    <t xml:space="preserve">  bu. per acre</t>
  </si>
  <si>
    <t xml:space="preserve">  miles</t>
  </si>
  <si>
    <t>Per round information</t>
  </si>
  <si>
    <t xml:space="preserve">  Acres per round</t>
  </si>
  <si>
    <t xml:space="preserve">  Rounds before unload</t>
  </si>
  <si>
    <t>Stop to</t>
  </si>
  <si>
    <t>Unload</t>
  </si>
  <si>
    <t>on go</t>
  </si>
  <si>
    <t xml:space="preserve">  acres</t>
  </si>
  <si>
    <t xml:space="preserve">  Time to complete round</t>
  </si>
  <si>
    <t xml:space="preserve">  Bushels per round</t>
  </si>
  <si>
    <t>Per hour information</t>
  </si>
  <si>
    <t xml:space="preserve">   Complete round</t>
  </si>
  <si>
    <t xml:space="preserve">   Total</t>
  </si>
  <si>
    <t>Bushels per hour</t>
  </si>
  <si>
    <t>Grain hauling input</t>
  </si>
  <si>
    <t>No. of trucks</t>
  </si>
  <si>
    <t>Time to complete trip</t>
  </si>
  <si>
    <t xml:space="preserve">    (Round trip from and to field to unload truck)</t>
  </si>
  <si>
    <t>Unload combine on go</t>
  </si>
  <si>
    <t>No. of grain carts</t>
  </si>
  <si>
    <t>Avg. capacity of carts</t>
  </si>
  <si>
    <t>Avg. capacity of trucks</t>
  </si>
  <si>
    <t xml:space="preserve">  number</t>
  </si>
  <si>
    <t>Yes</t>
  </si>
  <si>
    <t>No</t>
  </si>
  <si>
    <t xml:space="preserve">    not unloading on go</t>
  </si>
  <si>
    <t>Time to drive combine to truck to unload when</t>
  </si>
  <si>
    <t xml:space="preserve">  miles per hour</t>
  </si>
  <si>
    <t>COMBINE HARVESTING POTENTIAL</t>
  </si>
  <si>
    <t>Wheat</t>
  </si>
  <si>
    <t>Round and hour information</t>
  </si>
  <si>
    <t>Grain hauling capacity</t>
  </si>
  <si>
    <t>Harvesting capacity</t>
  </si>
  <si>
    <t xml:space="preserve">Hauling capacity exceeds </t>
  </si>
  <si>
    <t xml:space="preserve">      harvest capacity</t>
  </si>
  <si>
    <t xml:space="preserve">  bu. per hour</t>
  </si>
  <si>
    <t>Acres before have to wait for</t>
  </si>
  <si>
    <t xml:space="preserve">      trucks to return </t>
  </si>
  <si>
    <t>Grain hauling output</t>
  </si>
  <si>
    <t>GRAIN HAULING POTENTIAL</t>
  </si>
  <si>
    <t>HARVEST EFFICIENCY TOOL</t>
  </si>
  <si>
    <t xml:space="preserve">   Unload combine</t>
  </si>
  <si>
    <t>Version 3.0</t>
  </si>
  <si>
    <t>Mulch tiller (disk, chisel shanks)</t>
  </si>
  <si>
    <t>Mulch finisher (disk, chisel, and drag)</t>
  </si>
  <si>
    <t>Conventional planter</t>
  </si>
  <si>
    <t>Grain drill</t>
  </si>
  <si>
    <t>No-till drill</t>
  </si>
  <si>
    <t>Air seeder</t>
  </si>
  <si>
    <t>Rotary hoe</t>
  </si>
  <si>
    <t>35-ft</t>
  </si>
  <si>
    <t>Support Provided By:</t>
  </si>
  <si>
    <t>Warning: Content Blocked!</t>
  </si>
  <si>
    <t>Your Excel security settings are currently blocking some of the features in this FAST spreadsheet.</t>
  </si>
  <si>
    <t>The default settings for Microsoft Excel 2003 (and previous versions) and Excel 2007 do not allow</t>
  </si>
  <si>
    <t>Macros contained in this spreadsheet to function properly and need to be changed.</t>
  </si>
  <si>
    <t>For step by step instructions of how to change these settings and allow the content to be displayed</t>
  </si>
  <si>
    <t>on your computer, please select either the "Excel 2003 and Previous" or "Excel 2007" button below.</t>
  </si>
  <si>
    <t>Instructions for: Microsoft Excel 2003 and Previous</t>
  </si>
  <si>
    <t>Instructions for: Microsoft Excel 2007</t>
  </si>
  <si>
    <t xml:space="preserve">Microsoft Excel 2007 uses a different method to enable the content in a FAST Spreadsheet. When </t>
  </si>
  <si>
    <t>opening FAST Spreadsheets with Microsoft Excel 2007, a "Security Warning" box will appear</t>
  </si>
  <si>
    <t xml:space="preserve">just below the menu bar at the top left hand corner of the screen. The following steps need to be </t>
  </si>
  <si>
    <t>performed to run FAST programs.</t>
  </si>
  <si>
    <t xml:space="preserve">1. Select the "Options…" button to open up Microsoft Office Security Options. </t>
  </si>
  <si>
    <t xml:space="preserve">2. To allow the FAST Spreadsheet to run properly, you must enable Macros to run by </t>
  </si>
  <si>
    <t xml:space="preserve">    selecting “Enable this content” in the list of security options.</t>
  </si>
  <si>
    <t xml:space="preserve">  hours</t>
  </si>
  <si>
    <t>Length of workday</t>
  </si>
  <si>
    <t>44 ft.</t>
  </si>
  <si>
    <t>Strip Till</t>
  </si>
  <si>
    <t>HP</t>
  </si>
  <si>
    <t>Requirement</t>
  </si>
  <si>
    <t>High Performance Disk</t>
  </si>
  <si>
    <t>Liquid Fertilizer Applicator</t>
  </si>
  <si>
    <t>Disk Ripper (disk, chisel, rolling basket)</t>
  </si>
  <si>
    <t>Vertical tillage, rolling basket</t>
  </si>
  <si>
    <t>List Price</t>
  </si>
  <si>
    <t>Years Before Sold</t>
  </si>
  <si>
    <t>Current Age</t>
  </si>
  <si>
    <t>Speed in MPH</t>
  </si>
  <si>
    <t>Width in Ft</t>
  </si>
  <si>
    <t>Field Efficiency</t>
  </si>
  <si>
    <t>Acres Per Year</t>
  </si>
  <si>
    <t>330 HP</t>
  </si>
  <si>
    <t>470 HP</t>
  </si>
  <si>
    <t>540 HP</t>
  </si>
  <si>
    <t>30-ft</t>
  </si>
  <si>
    <t>Implement Defaults</t>
  </si>
  <si>
    <t>Intermediate Implement Defaults</t>
  </si>
  <si>
    <t>Tractor Defaults</t>
  </si>
  <si>
    <t>Intermediate Tractor Defaults</t>
  </si>
  <si>
    <t>Implement and Tractor Defaults</t>
  </si>
  <si>
    <t>12 ft</t>
  </si>
  <si>
    <t>21 ft</t>
  </si>
  <si>
    <t>23 ft</t>
  </si>
  <si>
    <t>27 ft.</t>
  </si>
  <si>
    <t>30 ft.</t>
  </si>
  <si>
    <t>35 ft.</t>
  </si>
  <si>
    <t>40 ft.</t>
  </si>
  <si>
    <t>47 ft.</t>
  </si>
  <si>
    <t>55 ft.</t>
  </si>
  <si>
    <t>61 ft.</t>
  </si>
  <si>
    <t>17 Ft</t>
  </si>
  <si>
    <t>22 Ft</t>
  </si>
  <si>
    <t>27 Ft</t>
  </si>
  <si>
    <t>21 ft 9 in</t>
  </si>
  <si>
    <t>25 ft 5 in</t>
  </si>
  <si>
    <t>30 ft 3 in</t>
  </si>
  <si>
    <t>33 ft 10 in</t>
  </si>
  <si>
    <t>43 ft 6 in</t>
  </si>
  <si>
    <t>49 ft 6 in</t>
  </si>
  <si>
    <t>11 ft. 3 in.</t>
  </si>
  <si>
    <t>13 ft. 9 in.</t>
  </si>
  <si>
    <t>16 ft. 3 in.</t>
  </si>
  <si>
    <t>18 ft. 9 in.</t>
  </si>
  <si>
    <t>21 ft 3 in.</t>
  </si>
  <si>
    <t xml:space="preserve">10 ft. </t>
  </si>
  <si>
    <t>14 ft..</t>
  </si>
  <si>
    <t xml:space="preserve">16 ft. </t>
  </si>
  <si>
    <t>24 ft 9"</t>
  </si>
  <si>
    <t>27 ft 9"</t>
  </si>
  <si>
    <t>30 ft 9"</t>
  </si>
  <si>
    <t>33 ft 9"</t>
  </si>
  <si>
    <t>38 ft 3"</t>
  </si>
  <si>
    <t>44 ft 3"</t>
  </si>
  <si>
    <t>50 ft 3"</t>
  </si>
  <si>
    <t>56 ft 3"</t>
  </si>
  <si>
    <t>31 ft. 6 in,</t>
  </si>
  <si>
    <t>40 ft. 6 in.</t>
  </si>
  <si>
    <t>44 ft. 6 in.</t>
  </si>
  <si>
    <t>48 ft. 6 in.</t>
  </si>
  <si>
    <t>52 ft. 6 in.</t>
  </si>
  <si>
    <t>56 ft. 6 in.</t>
  </si>
  <si>
    <t>60 ft. 6 in.</t>
  </si>
  <si>
    <t>64 ft. 6 in.</t>
  </si>
  <si>
    <t>23 ft. 7 in.</t>
  </si>
  <si>
    <t>26 ft. 5 in.</t>
  </si>
  <si>
    <t>29 ft. 3 in.</t>
  </si>
  <si>
    <t>33 ft. 7 in.</t>
  </si>
  <si>
    <t>40 ft. 8 in.</t>
  </si>
  <si>
    <t>44 ft. 11 in.</t>
  </si>
  <si>
    <t>Broadcast seeding</t>
  </si>
  <si>
    <t>20 ft.</t>
  </si>
  <si>
    <t>Split-row planter (soybean acres only)²</t>
  </si>
  <si>
    <t>12-row split</t>
  </si>
  <si>
    <t>16-row split</t>
  </si>
  <si>
    <t>No-till planter (30" rows)</t>
  </si>
  <si>
    <t>13 ft.</t>
  </si>
  <si>
    <t>25 ft.</t>
  </si>
  <si>
    <t>10 ft</t>
  </si>
  <si>
    <t>41 ft.</t>
  </si>
  <si>
    <t>Row-crop cultivator (30" rows)</t>
  </si>
  <si>
    <t>Self-propelled sprayer (High-crop ready)</t>
  </si>
  <si>
    <t>80 ft boom</t>
  </si>
  <si>
    <t>90 ft boom</t>
  </si>
  <si>
    <t>100 ft boom</t>
  </si>
  <si>
    <t xml:space="preserve">Self-propelled sprayer </t>
  </si>
  <si>
    <t>120 ft boom</t>
  </si>
  <si>
    <t>90 ft.</t>
  </si>
  <si>
    <t>Anhydrous ammonia applicator</t>
  </si>
  <si>
    <t>27 ft. 6 in.</t>
  </si>
  <si>
    <t>37 ft. 6 in.</t>
  </si>
  <si>
    <t>47 ft. 6 in.</t>
  </si>
  <si>
    <t>62 ft. 6 in.</t>
  </si>
  <si>
    <t xml:space="preserve">60 ft. </t>
  </si>
  <si>
    <t>Field and ditch mowing</t>
  </si>
  <si>
    <t>Combination Ripper</t>
  </si>
  <si>
    <t>14 ft</t>
  </si>
  <si>
    <t>22 ft</t>
  </si>
  <si>
    <t>24 ft</t>
  </si>
  <si>
    <t>17 ft 7 in.</t>
  </si>
  <si>
    <t>24 ft 4 in.</t>
  </si>
  <si>
    <t xml:space="preserve">30 ft </t>
  </si>
  <si>
    <t>35 ft</t>
  </si>
  <si>
    <t>40 ft</t>
  </si>
  <si>
    <t>rv1</t>
  </si>
  <si>
    <t>rv2</t>
  </si>
  <si>
    <t>rf1</t>
  </si>
  <si>
    <t>rf2</t>
  </si>
  <si>
    <t>size</t>
  </si>
  <si>
    <t>implement</t>
  </si>
  <si>
    <t>Implement Interest</t>
  </si>
  <si>
    <t>Implement Housing</t>
  </si>
  <si>
    <t>Tractor Interest</t>
  </si>
  <si>
    <t>Tractor Housing</t>
  </si>
  <si>
    <t>Combine Interest</t>
  </si>
  <si>
    <t>Combine Housing</t>
  </si>
  <si>
    <t>Corn head Interest</t>
  </si>
  <si>
    <t>Corn head Housing</t>
  </si>
  <si>
    <t>Grain platform Interest</t>
  </si>
  <si>
    <t>Grain platform Housing</t>
  </si>
  <si>
    <t>30-ft draper</t>
  </si>
  <si>
    <t>35-ft draper</t>
  </si>
  <si>
    <t>40-ft draper</t>
  </si>
  <si>
    <t>GRAIN CART COST CALCULATION TOOL</t>
  </si>
  <si>
    <t>Grain Cart input</t>
  </si>
  <si>
    <t>Grain Cart Interest</t>
  </si>
  <si>
    <t>Grain Cart Housing</t>
  </si>
  <si>
    <t>Grain Cart</t>
  </si>
  <si>
    <t>Acres per Hour</t>
  </si>
  <si>
    <t>Hours per Acre</t>
  </si>
  <si>
    <t>Hours of</t>
  </si>
  <si>
    <t>Use</t>
  </si>
  <si>
    <t>Grain Cart Defaults</t>
  </si>
  <si>
    <t>Intermediate Grain Cart Defaults</t>
  </si>
  <si>
    <t>Grain cart size</t>
  </si>
  <si>
    <t>Corn acres per hour</t>
  </si>
  <si>
    <t>Soybeans acres per hour</t>
  </si>
  <si>
    <t>Soybean acres per hour</t>
  </si>
  <si>
    <t>acres</t>
  </si>
  <si>
    <t>hours</t>
  </si>
  <si>
    <t>Corn acres</t>
  </si>
  <si>
    <t>Soybean acres</t>
  </si>
  <si>
    <t>Grain cart overhead</t>
  </si>
  <si>
    <t>Tractor overhead</t>
  </si>
  <si>
    <t>Fuel and lube</t>
  </si>
  <si>
    <t>Minimum till ripper</t>
  </si>
  <si>
    <t>7 ft 6 in</t>
  </si>
  <si>
    <t>12 ft 6 in</t>
  </si>
  <si>
    <t>17 ft 6 in</t>
  </si>
  <si>
    <t>22 ft 6 in</t>
  </si>
  <si>
    <t>69 ft. 6 in.</t>
  </si>
  <si>
    <t>18 ft rigid</t>
  </si>
  <si>
    <t>18 ft folding</t>
  </si>
  <si>
    <t>25 ft. 6 in.</t>
  </si>
  <si>
    <t>Chisel plow - 23 ft</t>
  </si>
  <si>
    <t>1000 bu Grain Cart</t>
  </si>
  <si>
    <t>240 PTO Hp Tractor</t>
  </si>
  <si>
    <t>Updated 10/16/2023</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</si>
</sst>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xmlns:xr9="http://schemas.microsoft.com/office/spreadsheetml/2016/revision9" mc:Ignorable="x14ac x16r2 xr xr9">
  <numFmts count="7">
    <numFmt numFmtId="7" formatCode="&quot;$&quot;#,##0.00_);\(&quot;$&quot;#,##0.00\)"/>
    <numFmt numFmtId="43" formatCode="_(* #,##0.00_);_(* \(#,##0.00\);_(* &quot;-&quot;??_);_(@_)"/>
    <numFmt numFmtId="164" formatCode="0.0"/>
    <numFmt numFmtId="165" formatCode="0.0%"/>
    <numFmt numFmtId="166" formatCode="&quot;$&quot;#,##0.00"/>
    <numFmt numFmtId="167" formatCode="&quot;$&quot;#,##0"/>
    <numFmt numFmtId="168" formatCode="0.000"/>
  </numFmts>
  <fonts count="47">
    <font>
      <sz val="10"/>
      <name val="Arial"/>
    </font>
    <font>
      <sz val="10"/>
      <name val="Arial"/>
      <family val="2"/>
    </font>
    <font>
      <b/>
      <sz val="10"/>
      <name val="Arial"/>
      <family val="2"/>
    </font>
    <font>
      <b/>
      <vertAlign val="superscript"/>
      <sz val="10"/>
      <name val="Arial"/>
      <family val="2"/>
    </font>
    <font>
      <sz val="10"/>
      <color indexed="12"/>
      <name val="Arial"/>
      <family val="2"/>
    </font>
    <font>
      <sz val="10"/>
      <color indexed="9"/>
      <name val="Arial"/>
      <family val="2"/>
    </font>
    <font>
      <sz val="10"/>
      <name val="Arial"/>
      <family val="2"/>
    </font>
    <font>
      <i/>
      <sz val="9"/>
      <name val="Arial"/>
      <family val="2"/>
    </font>
    <font>
      <i/>
      <sz val="10"/>
      <name val="Arial"/>
      <family val="2"/>
    </font>
    <font>
      <sz val="10"/>
      <color indexed="44"/>
      <name val="Arial"/>
      <family val="2"/>
    </font>
    <font>
      <sz val="10"/>
      <color indexed="43"/>
      <name val="Arial"/>
      <family val="2"/>
    </font>
    <font>
      <sz val="10"/>
      <color indexed="41"/>
      <name val="Arial"/>
      <family val="2"/>
    </font>
    <font>
      <u/>
      <sz val="10"/>
      <color indexed="12"/>
      <name val="Arial"/>
      <family val="2"/>
    </font>
    <font>
      <sz val="8"/>
      <name val="Arial"/>
      <family val="2"/>
    </font>
    <font>
      <b/>
      <sz val="14"/>
      <color indexed="10"/>
      <name val="Arial"/>
      <family val="2"/>
    </font>
    <font>
      <b/>
      <sz val="10"/>
      <color indexed="16"/>
      <name val="Arial"/>
      <family val="2"/>
    </font>
    <font>
      <u/>
      <sz val="10"/>
      <name val="Arial"/>
      <family val="2"/>
    </font>
    <font>
      <sz val="10"/>
      <color indexed="12"/>
      <name val="Arial"/>
      <family val="2"/>
    </font>
    <font>
      <b/>
      <i/>
      <sz val="9"/>
      <color indexed="17"/>
      <name val="Arial"/>
      <family val="2"/>
    </font>
    <font>
      <sz val="9"/>
      <color indexed="8"/>
      <name val="Verdana"/>
      <family val="2"/>
    </font>
    <font>
      <sz val="10"/>
      <name val="Arial  "/>
    </font>
    <font>
      <sz val="9"/>
      <name val="Arial  "/>
    </font>
    <font>
      <b/>
      <sz val="12"/>
      <color indexed="9"/>
      <name val="Arial  "/>
    </font>
    <font>
      <b/>
      <sz val="9"/>
      <color indexed="9"/>
      <name val="Arial  "/>
    </font>
    <font>
      <b/>
      <sz val="10"/>
      <color indexed="9"/>
      <name val="Arial"/>
      <family val="2"/>
    </font>
    <font>
      <u/>
      <sz val="9"/>
      <color indexed="12"/>
      <name val="Arial"/>
      <family val="2"/>
    </font>
    <font>
      <b/>
      <sz val="8"/>
      <name val="Arial"/>
      <family val="2"/>
    </font>
    <font>
      <b/>
      <sz val="13"/>
      <name val="Times New Roman"/>
      <family val="1"/>
    </font>
    <font>
      <sz val="8"/>
      <name val="Arial"/>
      <family val="2"/>
    </font>
    <font>
      <sz val="12"/>
      <color indexed="18"/>
      <name val="Arial"/>
      <family val="2"/>
    </font>
    <font>
      <b/>
      <i/>
      <sz val="12"/>
      <color indexed="58"/>
      <name val="Arial"/>
      <family val="2"/>
    </font>
    <font>
      <b/>
      <i/>
      <sz val="8"/>
      <name val="Arial"/>
      <family val="2"/>
    </font>
    <font>
      <b/>
      <i/>
      <sz val="10"/>
      <color indexed="17"/>
      <name val="Arial"/>
      <family val="2"/>
    </font>
    <font>
      <sz val="8.5"/>
      <color indexed="63"/>
      <name val="Arial"/>
      <family val="2"/>
    </font>
    <font>
      <b/>
      <sz val="24"/>
      <color indexed="18"/>
      <name val="Arial"/>
      <family val="2"/>
    </font>
    <font>
      <sz val="10"/>
      <color indexed="41"/>
      <name val="Arial"/>
      <family val="2"/>
    </font>
    <font>
      <b/>
      <sz val="10"/>
      <name val="Arial"/>
      <family val="2"/>
    </font>
    <font>
      <sz val="10"/>
      <color indexed="9"/>
      <name val="Arial"/>
      <family val="2"/>
    </font>
    <font>
      <sz val="10"/>
      <color indexed="10"/>
      <name val="Arial"/>
      <family val="2"/>
    </font>
    <font>
      <sz val="10"/>
      <color indexed="47"/>
      <name val="Arial"/>
      <family val="2"/>
    </font>
    <font>
      <sz val="10"/>
      <name val="Arial"/>
      <family val="2"/>
    </font>
    <font>
      <sz val="9"/>
      <color indexed="8"/>
      <name val="Arial"/>
      <family val="2"/>
    </font>
    <font>
      <sz val="10"/>
      <color theme="0"/>
      <name val="Arial"/>
      <family val="2"/>
    </font>
    <font>
      <b/>
      <sz val="10"/>
      <color theme="0"/>
      <name val="Arial"/>
      <family val="2"/>
    </font>
    <font>
      <sz val="10"/>
      <color rgb="FFFF0000"/>
      <name val="Arial"/>
      <family val="2"/>
    </font>
    <font>
      <sz val="10"/>
      <color rgb="FF000000"/>
      <name val="Arial"/>
      <family val="2"/>
    </font>
    <font>
      <sz val="10"/>
      <name val="Arial"/>
      <family val="2"/>
    </font>
  </fonts>
  <fills count="9">
    <fill>
      <patternFill patternType="none"/>
    </fill>
    <fill>
      <patternFill patternType="gray125"/>
    </fill>
    <fill>
      <patternFill patternType="solid">
        <fgColor indexed="43"/>
        <bgColor indexed="64"/>
      </patternFill>
    </fill>
    <fill>
      <patternFill patternType="solid">
        <fgColor indexed="44"/>
        <bgColor indexed="64"/>
      </patternFill>
    </fill>
    <fill>
      <patternFill patternType="solid">
        <fgColor indexed="41"/>
        <bgColor indexed="64"/>
      </patternFill>
    </fill>
    <fill>
      <patternFill patternType="solid">
        <fgColor indexed="47"/>
        <bgColor indexed="64"/>
      </patternFill>
    </fill>
    <fill>
      <patternFill patternType="solid">
        <fgColor indexed="18"/>
        <bgColor indexed="64"/>
      </patternFill>
    </fill>
    <fill>
      <patternFill patternType="solid">
        <fgColor indexed="9"/>
        <bgColor indexed="64"/>
      </patternFill>
    </fill>
    <fill>
      <patternFill patternType="solid">
        <fgColor rgb="FFFFFF00"/>
        <bgColor indexed="64"/>
      </patternFill>
    </fill>
  </fills>
  <borders count="29">
    <border>
      <left/>
      <right/>
      <top/>
      <bottom/>
      <diagonal/>
    </border>
    <border>
      <left/>
      <right/>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right/>
      <top/>
      <bottom style="medium">
        <color indexed="64"/>
      </bottom>
      <diagonal/>
    </border>
    <border>
      <left/>
      <right/>
      <top style="medium">
        <color indexed="64"/>
      </top>
      <bottom/>
      <diagonal/>
    </border>
    <border>
      <left/>
      <right/>
      <top style="hair">
        <color indexed="64"/>
      </top>
      <bottom/>
      <diagonal/>
    </border>
    <border>
      <left style="hair">
        <color indexed="64"/>
      </left>
      <right/>
      <top/>
      <bottom/>
      <diagonal/>
    </border>
    <border>
      <left style="hair">
        <color indexed="64"/>
      </left>
      <right/>
      <top/>
      <bottom style="thin">
        <color indexed="64"/>
      </bottom>
      <diagonal/>
    </border>
    <border>
      <left/>
      <right style="thin">
        <color indexed="64"/>
      </right>
      <top style="hair">
        <color indexed="64"/>
      </top>
      <bottom/>
      <diagonal/>
    </border>
    <border>
      <left style="hair">
        <color indexed="64"/>
      </left>
      <right/>
      <top style="hair">
        <color indexed="64"/>
      </top>
      <bottom/>
      <diagonal/>
    </border>
    <border>
      <left style="hair">
        <color indexed="64"/>
      </left>
      <right/>
      <top style="thin">
        <color indexed="64"/>
      </top>
      <bottom/>
      <diagonal/>
    </border>
    <border>
      <left/>
      <right/>
      <top/>
      <bottom style="hair">
        <color indexed="64"/>
      </bottom>
      <diagonal/>
    </border>
    <border>
      <left style="thin">
        <color indexed="64"/>
      </left>
      <right/>
      <top/>
      <bottom style="hair">
        <color indexed="64"/>
      </bottom>
      <diagonal/>
    </border>
    <border>
      <left style="thin">
        <color indexed="64"/>
      </left>
      <right/>
      <top/>
      <bottom style="double">
        <color indexed="64"/>
      </bottom>
      <diagonal/>
    </border>
    <border>
      <left/>
      <right/>
      <top/>
      <bottom style="double">
        <color indexed="64"/>
      </bottom>
      <diagonal/>
    </border>
    <border>
      <left/>
      <right style="thin">
        <color indexed="64"/>
      </right>
      <top/>
      <bottom style="double">
        <color indexed="64"/>
      </bottom>
      <diagonal/>
    </border>
    <border>
      <left style="thick">
        <color indexed="64"/>
      </left>
      <right/>
      <top/>
      <bottom/>
      <diagonal/>
    </border>
    <border>
      <left/>
      <right style="thick">
        <color indexed="64"/>
      </right>
      <top style="thin">
        <color indexed="64"/>
      </top>
      <bottom/>
      <diagonal/>
    </border>
    <border>
      <left/>
      <right style="thick">
        <color indexed="64"/>
      </right>
      <top/>
      <bottom/>
      <diagonal/>
    </border>
    <border>
      <left style="thin">
        <color indexed="64"/>
      </left>
      <right/>
      <top/>
      <bottom style="thick">
        <color indexed="64"/>
      </bottom>
      <diagonal/>
    </border>
    <border>
      <left/>
      <right/>
      <top/>
      <bottom style="thick">
        <color indexed="64"/>
      </bottom>
      <diagonal/>
    </border>
    <border>
      <left/>
      <right style="thick">
        <color indexed="64"/>
      </right>
      <top/>
      <bottom style="thick">
        <color indexed="64"/>
      </bottom>
      <diagonal/>
    </border>
    <border>
      <left/>
      <right style="hair">
        <color indexed="64"/>
      </right>
      <top/>
      <bottom/>
      <diagonal/>
    </border>
  </borders>
  <cellStyleXfs count="4">
    <xf numFmtId="0" fontId="0" fillId="0" borderId="0"/>
    <xf numFmtId="43" fontId="1" fillId="0" borderId="0" applyFont="0" applyFill="0" applyBorder="0" applyAlignment="0" applyProtection="0"/>
    <xf numFmtId="0" fontId="12" fillId="0" borderId="0" applyNumberFormat="0" applyFill="0" applyBorder="0" applyAlignment="0" applyProtection="0">
      <alignment vertical="top"/>
      <protection locked="0"/>
    </xf>
    <xf numFmtId="9" fontId="46" fillId="0" borderId="0" applyFont="0" applyFill="0" applyBorder="0" applyAlignment="0" applyProtection="0"/>
  </cellStyleXfs>
  <cellXfs count="290">
    <xf numFmtId="0" fontId="0" fillId="0" borderId="0" xfId="0"/>
    <xf numFmtId="16" fontId="0" fillId="0" borderId="0" xfId="0" applyNumberFormat="1"/>
    <xf numFmtId="9" fontId="0" fillId="0" borderId="0" xfId="0" applyNumberFormat="1"/>
    <xf numFmtId="0" fontId="0" fillId="0" borderId="0" xfId="0" applyAlignment="1">
      <alignment horizontal="right"/>
    </xf>
    <xf numFmtId="0" fontId="0" fillId="0" borderId="1" xfId="0" applyBorder="1"/>
    <xf numFmtId="16" fontId="0" fillId="0" borderId="1" xfId="0" applyNumberFormat="1" applyBorder="1"/>
    <xf numFmtId="9" fontId="0" fillId="0" borderId="1" xfId="0" applyNumberFormat="1" applyBorder="1"/>
    <xf numFmtId="0" fontId="2" fillId="0" borderId="0" xfId="0" applyFont="1" applyAlignment="1">
      <alignment horizontal="center"/>
    </xf>
    <xf numFmtId="0" fontId="0" fillId="2" borderId="2" xfId="0" applyFill="1" applyBorder="1"/>
    <xf numFmtId="0" fontId="0" fillId="2" borderId="3" xfId="0" applyFill="1" applyBorder="1"/>
    <xf numFmtId="0" fontId="0" fillId="2" borderId="4" xfId="0" applyFill="1" applyBorder="1"/>
    <xf numFmtId="0" fontId="0" fillId="2" borderId="5" xfId="0" applyFill="1" applyBorder="1"/>
    <xf numFmtId="0" fontId="0" fillId="2" borderId="0" xfId="0" applyFill="1"/>
    <xf numFmtId="0" fontId="0" fillId="2" borderId="6" xfId="0" applyFill="1" applyBorder="1"/>
    <xf numFmtId="0" fontId="0" fillId="2" borderId="7" xfId="0" applyFill="1" applyBorder="1"/>
    <xf numFmtId="0" fontId="0" fillId="2" borderId="1" xfId="0" applyFill="1" applyBorder="1"/>
    <xf numFmtId="0" fontId="0" fillId="2" borderId="8" xfId="0" applyFill="1" applyBorder="1"/>
    <xf numFmtId="1" fontId="0" fillId="2" borderId="0" xfId="0" applyNumberFormat="1" applyFill="1"/>
    <xf numFmtId="0" fontId="0" fillId="0" borderId="0" xfId="0" applyAlignment="1">
      <alignment horizontal="left"/>
    </xf>
    <xf numFmtId="0" fontId="6" fillId="0" borderId="0" xfId="0" applyFont="1" applyAlignment="1">
      <alignment horizontal="left"/>
    </xf>
    <xf numFmtId="16" fontId="4" fillId="2" borderId="0" xfId="0" applyNumberFormat="1" applyFont="1" applyFill="1" applyAlignment="1" applyProtection="1">
      <alignment horizontal="left"/>
      <protection locked="0"/>
    </xf>
    <xf numFmtId="0" fontId="6" fillId="2" borderId="0" xfId="0" applyFont="1" applyFill="1"/>
    <xf numFmtId="0" fontId="2" fillId="0" borderId="0" xfId="0" applyFont="1"/>
    <xf numFmtId="0" fontId="0" fillId="2" borderId="6" xfId="0" applyFill="1" applyBorder="1" applyAlignment="1">
      <alignment horizontal="left"/>
    </xf>
    <xf numFmtId="0" fontId="7" fillId="2" borderId="3" xfId="0" applyFont="1" applyFill="1" applyBorder="1"/>
    <xf numFmtId="0" fontId="4" fillId="2" borderId="0" xfId="0" applyFont="1" applyFill="1" applyProtection="1">
      <protection locked="0"/>
    </xf>
    <xf numFmtId="9" fontId="4" fillId="2" borderId="0" xfId="0" applyNumberFormat="1" applyFont="1" applyFill="1" applyProtection="1">
      <protection locked="0"/>
    </xf>
    <xf numFmtId="164" fontId="0" fillId="2" borderId="0" xfId="0" applyNumberFormat="1" applyFill="1"/>
    <xf numFmtId="0" fontId="8" fillId="2" borderId="0" xfId="0" applyFont="1" applyFill="1"/>
    <xf numFmtId="0" fontId="0" fillId="3" borderId="5" xfId="0" applyFill="1" applyBorder="1"/>
    <xf numFmtId="0" fontId="0" fillId="3" borderId="0" xfId="0" applyFill="1"/>
    <xf numFmtId="0" fontId="0" fillId="3" borderId="6" xfId="0" applyFill="1" applyBorder="1"/>
    <xf numFmtId="1" fontId="0" fillId="3" borderId="0" xfId="0" applyNumberFormat="1" applyFill="1"/>
    <xf numFmtId="0" fontId="0" fillId="3" borderId="0" xfId="0" applyFill="1" applyAlignment="1">
      <alignment horizontal="right"/>
    </xf>
    <xf numFmtId="0" fontId="5" fillId="3" borderId="5" xfId="0" applyFont="1" applyFill="1" applyBorder="1"/>
    <xf numFmtId="9" fontId="0" fillId="3" borderId="0" xfId="0" applyNumberFormat="1" applyFill="1"/>
    <xf numFmtId="0" fontId="0" fillId="3" borderId="7" xfId="0" applyFill="1" applyBorder="1"/>
    <xf numFmtId="0" fontId="0" fillId="3" borderId="1" xfId="0" applyFill="1" applyBorder="1"/>
    <xf numFmtId="0" fontId="9" fillId="3" borderId="0" xfId="0" applyFont="1" applyFill="1"/>
    <xf numFmtId="0" fontId="9" fillId="3" borderId="6" xfId="0" applyFont="1" applyFill="1" applyBorder="1"/>
    <xf numFmtId="0" fontId="0" fillId="3" borderId="2" xfId="0" applyFill="1" applyBorder="1"/>
    <xf numFmtId="0" fontId="0" fillId="3" borderId="3" xfId="0" applyFill="1" applyBorder="1"/>
    <xf numFmtId="0" fontId="0" fillId="3" borderId="4" xfId="0" applyFill="1" applyBorder="1"/>
    <xf numFmtId="164" fontId="0" fillId="3" borderId="0" xfId="0" applyNumberFormat="1" applyFill="1"/>
    <xf numFmtId="0" fontId="0" fillId="3" borderId="8" xfId="0" applyFill="1" applyBorder="1"/>
    <xf numFmtId="0" fontId="10" fillId="2" borderId="0" xfId="0" applyFont="1" applyFill="1"/>
    <xf numFmtId="0" fontId="6" fillId="3" borderId="2" xfId="0" applyFont="1" applyFill="1" applyBorder="1"/>
    <xf numFmtId="0" fontId="6" fillId="3" borderId="3" xfId="0" applyFont="1" applyFill="1" applyBorder="1"/>
    <xf numFmtId="0" fontId="6" fillId="3" borderId="4" xfId="0" applyFont="1" applyFill="1" applyBorder="1"/>
    <xf numFmtId="0" fontId="6" fillId="3" borderId="5" xfId="0" applyFont="1" applyFill="1" applyBorder="1"/>
    <xf numFmtId="0" fontId="6" fillId="3" borderId="0" xfId="0" applyFont="1" applyFill="1"/>
    <xf numFmtId="164" fontId="6" fillId="3" borderId="0" xfId="0" applyNumberFormat="1" applyFont="1" applyFill="1"/>
    <xf numFmtId="0" fontId="6" fillId="3" borderId="6" xfId="0" applyFont="1" applyFill="1" applyBorder="1"/>
    <xf numFmtId="9" fontId="6" fillId="3" borderId="0" xfId="0" applyNumberFormat="1" applyFont="1" applyFill="1"/>
    <xf numFmtId="0" fontId="6" fillId="3" borderId="0" xfId="0" applyFont="1" applyFill="1" applyAlignment="1">
      <alignment horizontal="right"/>
    </xf>
    <xf numFmtId="0" fontId="6" fillId="3" borderId="7" xfId="0" applyFont="1" applyFill="1" applyBorder="1"/>
    <xf numFmtId="0" fontId="6" fillId="3" borderId="1" xfId="0" applyFont="1" applyFill="1" applyBorder="1"/>
    <xf numFmtId="0" fontId="0" fillId="2" borderId="0" xfId="0" quotePrefix="1" applyFill="1" applyAlignment="1">
      <alignment horizontal="left"/>
    </xf>
    <xf numFmtId="0" fontId="0" fillId="2" borderId="6" xfId="0" quotePrefix="1" applyFill="1" applyBorder="1" applyAlignment="1">
      <alignment horizontal="left"/>
    </xf>
    <xf numFmtId="0" fontId="0" fillId="2" borderId="0" xfId="0" applyFill="1" applyAlignment="1">
      <alignment horizontal="left"/>
    </xf>
    <xf numFmtId="0" fontId="6" fillId="4" borderId="0" xfId="0" applyFont="1" applyFill="1"/>
    <xf numFmtId="0" fontId="6" fillId="4" borderId="0" xfId="0" applyFont="1" applyFill="1" applyAlignment="1">
      <alignment horizontal="right"/>
    </xf>
    <xf numFmtId="0" fontId="6" fillId="4" borderId="1" xfId="0" applyFont="1" applyFill="1" applyBorder="1"/>
    <xf numFmtId="0" fontId="6" fillId="4" borderId="1" xfId="0" applyFont="1" applyFill="1" applyBorder="1" applyAlignment="1">
      <alignment horizontal="right"/>
    </xf>
    <xf numFmtId="167" fontId="6" fillId="4" borderId="0" xfId="0" applyNumberFormat="1" applyFont="1" applyFill="1"/>
    <xf numFmtId="166" fontId="6" fillId="4" borderId="0" xfId="0" applyNumberFormat="1" applyFont="1" applyFill="1"/>
    <xf numFmtId="3" fontId="6" fillId="4" borderId="0" xfId="0" applyNumberFormat="1" applyFont="1" applyFill="1"/>
    <xf numFmtId="3" fontId="6" fillId="4" borderId="1" xfId="0" applyNumberFormat="1" applyFont="1" applyFill="1" applyBorder="1"/>
    <xf numFmtId="0" fontId="2" fillId="4" borderId="0" xfId="0" applyFont="1" applyFill="1"/>
    <xf numFmtId="165" fontId="4" fillId="2" borderId="0" xfId="0" applyNumberFormat="1" applyFont="1" applyFill="1" applyProtection="1">
      <protection locked="0"/>
    </xf>
    <xf numFmtId="166" fontId="4" fillId="2" borderId="0" xfId="0" applyNumberFormat="1" applyFont="1" applyFill="1" applyProtection="1">
      <protection locked="0"/>
    </xf>
    <xf numFmtId="0" fontId="4" fillId="0" borderId="0" xfId="0" applyFont="1"/>
    <xf numFmtId="0" fontId="0" fillId="4" borderId="2" xfId="0" applyFill="1" applyBorder="1"/>
    <xf numFmtId="0" fontId="0" fillId="4" borderId="3" xfId="0" applyFill="1" applyBorder="1"/>
    <xf numFmtId="0" fontId="0" fillId="4" borderId="4" xfId="0" applyFill="1" applyBorder="1"/>
    <xf numFmtId="0" fontId="0" fillId="4" borderId="5" xfId="0" applyFill="1" applyBorder="1"/>
    <xf numFmtId="0" fontId="0" fillId="4" borderId="0" xfId="0" applyFill="1"/>
    <xf numFmtId="0" fontId="0" fillId="4" borderId="0" xfId="0" applyFill="1" applyAlignment="1">
      <alignment horizontal="right"/>
    </xf>
    <xf numFmtId="0" fontId="0" fillId="4" borderId="6" xfId="0" applyFill="1" applyBorder="1"/>
    <xf numFmtId="0" fontId="0" fillId="4" borderId="1" xfId="0" applyFill="1" applyBorder="1"/>
    <xf numFmtId="0" fontId="0" fillId="4" borderId="1" xfId="0" applyFill="1" applyBorder="1" applyAlignment="1">
      <alignment horizontal="right"/>
    </xf>
    <xf numFmtId="3" fontId="0" fillId="4" borderId="0" xfId="0" applyNumberFormat="1" applyFill="1"/>
    <xf numFmtId="2" fontId="0" fillId="4" borderId="0" xfId="0" applyNumberFormat="1" applyFill="1"/>
    <xf numFmtId="3" fontId="0" fillId="4" borderId="0" xfId="0" applyNumberFormat="1" applyFill="1" applyAlignment="1">
      <alignment horizontal="right"/>
    </xf>
    <xf numFmtId="0" fontId="0" fillId="4" borderId="7" xfId="0" applyFill="1" applyBorder="1"/>
    <xf numFmtId="0" fontId="0" fillId="4" borderId="8" xfId="0" applyFill="1" applyBorder="1"/>
    <xf numFmtId="167" fontId="0" fillId="4" borderId="0" xfId="0" applyNumberFormat="1" applyFill="1"/>
    <xf numFmtId="166" fontId="0" fillId="4" borderId="0" xfId="0" applyNumberFormat="1" applyFill="1"/>
    <xf numFmtId="3" fontId="0" fillId="4" borderId="1" xfId="0" applyNumberFormat="1" applyFill="1" applyBorder="1"/>
    <xf numFmtId="4" fontId="0" fillId="4" borderId="0" xfId="0" applyNumberFormat="1" applyFill="1"/>
    <xf numFmtId="4" fontId="0" fillId="4" borderId="1" xfId="0" applyNumberFormat="1" applyFill="1" applyBorder="1"/>
    <xf numFmtId="16" fontId="0" fillId="3" borderId="0" xfId="0" applyNumberFormat="1" applyFill="1"/>
    <xf numFmtId="16" fontId="6" fillId="3" borderId="0" xfId="0" applyNumberFormat="1" applyFont="1" applyFill="1"/>
    <xf numFmtId="0" fontId="9" fillId="0" borderId="0" xfId="0" applyFont="1"/>
    <xf numFmtId="0" fontId="7" fillId="2" borderId="0" xfId="0" applyFont="1" applyFill="1"/>
    <xf numFmtId="0" fontId="4" fillId="0" borderId="0" xfId="0" applyFont="1" applyAlignment="1" applyProtection="1">
      <alignment horizontal="right"/>
      <protection locked="0"/>
    </xf>
    <xf numFmtId="1" fontId="0" fillId="3" borderId="1" xfId="0" applyNumberFormat="1" applyFill="1" applyBorder="1"/>
    <xf numFmtId="0" fontId="6" fillId="3" borderId="8" xfId="0" applyFont="1" applyFill="1" applyBorder="1"/>
    <xf numFmtId="0" fontId="5" fillId="0" borderId="0" xfId="0" applyFont="1"/>
    <xf numFmtId="0" fontId="5" fillId="0" borderId="0" xfId="0" applyFont="1" applyProtection="1">
      <protection locked="0"/>
    </xf>
    <xf numFmtId="0" fontId="0" fillId="2" borderId="1" xfId="0" applyFill="1" applyBorder="1" applyAlignment="1">
      <alignment horizontal="left"/>
    </xf>
    <xf numFmtId="9" fontId="4" fillId="2" borderId="1" xfId="0" applyNumberFormat="1" applyFont="1" applyFill="1" applyBorder="1" applyProtection="1">
      <protection locked="0"/>
    </xf>
    <xf numFmtId="0" fontId="0" fillId="2" borderId="0" xfId="0" applyFill="1" applyAlignment="1">
      <alignment horizontal="right"/>
    </xf>
    <xf numFmtId="3" fontId="11" fillId="4" borderId="0" xfId="0" applyNumberFormat="1" applyFont="1" applyFill="1"/>
    <xf numFmtId="3" fontId="11" fillId="4" borderId="1" xfId="0" applyNumberFormat="1" applyFont="1" applyFill="1" applyBorder="1"/>
    <xf numFmtId="2" fontId="0" fillId="4" borderId="1" xfId="0" applyNumberFormat="1" applyFill="1" applyBorder="1"/>
    <xf numFmtId="0" fontId="2" fillId="4" borderId="0" xfId="0" applyFont="1" applyFill="1" applyAlignment="1">
      <alignment horizontal="left"/>
    </xf>
    <xf numFmtId="0" fontId="2" fillId="2" borderId="0" xfId="0" applyFont="1" applyFill="1"/>
    <xf numFmtId="0" fontId="0" fillId="5" borderId="2" xfId="0" applyFill="1" applyBorder="1"/>
    <xf numFmtId="0" fontId="2" fillId="5" borderId="3" xfId="0" applyFont="1" applyFill="1" applyBorder="1"/>
    <xf numFmtId="0" fontId="0" fillId="5" borderId="3" xfId="0" applyFill="1" applyBorder="1"/>
    <xf numFmtId="0" fontId="0" fillId="5" borderId="4" xfId="0" applyFill="1" applyBorder="1"/>
    <xf numFmtId="0" fontId="0" fillId="5" borderId="5" xfId="0" applyFill="1" applyBorder="1"/>
    <xf numFmtId="0" fontId="0" fillId="5" borderId="0" xfId="0" applyFill="1"/>
    <xf numFmtId="0" fontId="0" fillId="5" borderId="6" xfId="0" applyFill="1" applyBorder="1"/>
    <xf numFmtId="0" fontId="0" fillId="5" borderId="0" xfId="0" applyFill="1" applyAlignment="1">
      <alignment horizontal="center"/>
    </xf>
    <xf numFmtId="3" fontId="0" fillId="5" borderId="0" xfId="0" applyNumberFormat="1" applyFill="1" applyAlignment="1">
      <alignment horizontal="center"/>
    </xf>
    <xf numFmtId="0" fontId="0" fillId="5" borderId="7" xfId="0" applyFill="1" applyBorder="1"/>
    <xf numFmtId="0" fontId="0" fillId="5" borderId="1" xfId="0" applyFill="1" applyBorder="1"/>
    <xf numFmtId="0" fontId="0" fillId="5" borderId="8" xfId="0" applyFill="1" applyBorder="1"/>
    <xf numFmtId="16" fontId="0" fillId="0" borderId="0" xfId="0" quotePrefix="1" applyNumberFormat="1"/>
    <xf numFmtId="16" fontId="5" fillId="0" borderId="0" xfId="0" quotePrefix="1" applyNumberFormat="1" applyFont="1"/>
    <xf numFmtId="16" fontId="5" fillId="0" borderId="0" xfId="0" applyNumberFormat="1" applyFont="1"/>
    <xf numFmtId="14" fontId="0" fillId="0" borderId="0" xfId="0" applyNumberFormat="1"/>
    <xf numFmtId="0" fontId="14" fillId="0" borderId="0" xfId="0" applyFont="1"/>
    <xf numFmtId="0" fontId="15" fillId="0" borderId="0" xfId="0" applyFont="1"/>
    <xf numFmtId="0" fontId="16" fillId="0" borderId="0" xfId="0" applyFont="1"/>
    <xf numFmtId="0" fontId="6" fillId="0" borderId="0" xfId="0" applyFont="1"/>
    <xf numFmtId="0" fontId="6" fillId="6" borderId="0" xfId="0" applyFont="1" applyFill="1"/>
    <xf numFmtId="0" fontId="2" fillId="6" borderId="0" xfId="0" applyFont="1" applyFill="1"/>
    <xf numFmtId="0" fontId="19" fillId="0" borderId="0" xfId="0" applyFont="1"/>
    <xf numFmtId="0" fontId="2" fillId="0" borderId="0" xfId="0" applyFont="1" applyAlignment="1">
      <alignment vertical="top"/>
    </xf>
    <xf numFmtId="0" fontId="20" fillId="0" borderId="0" xfId="0" applyFont="1" applyAlignment="1">
      <alignment vertical="top" wrapText="1"/>
    </xf>
    <xf numFmtId="0" fontId="21" fillId="0" borderId="0" xfId="0" applyFont="1" applyAlignment="1">
      <alignment vertical="top" wrapText="1"/>
    </xf>
    <xf numFmtId="0" fontId="24" fillId="7" borderId="0" xfId="0" applyFont="1" applyFill="1"/>
    <xf numFmtId="0" fontId="6" fillId="0" borderId="0" xfId="0" applyFont="1" applyAlignment="1">
      <alignment vertical="top"/>
    </xf>
    <xf numFmtId="0" fontId="2" fillId="0" borderId="9" xfId="0" applyFont="1" applyBorder="1"/>
    <xf numFmtId="0" fontId="6" fillId="0" borderId="9" xfId="0" applyFont="1" applyBorder="1"/>
    <xf numFmtId="0" fontId="25" fillId="0" borderId="10" xfId="2" applyFont="1" applyFill="1" applyBorder="1" applyAlignment="1" applyProtection="1"/>
    <xf numFmtId="0" fontId="26" fillId="0" borderId="0" xfId="0" applyFont="1"/>
    <xf numFmtId="0" fontId="25" fillId="0" borderId="0" xfId="2" applyFont="1" applyFill="1" applyBorder="1" applyAlignment="1" applyProtection="1"/>
    <xf numFmtId="0" fontId="27" fillId="0" borderId="0" xfId="0" applyFont="1"/>
    <xf numFmtId="0" fontId="28" fillId="0" borderId="0" xfId="0" applyFont="1"/>
    <xf numFmtId="0" fontId="29" fillId="0" borderId="0" xfId="0" applyFont="1"/>
    <xf numFmtId="0" fontId="31" fillId="0" borderId="0" xfId="0" applyFont="1"/>
    <xf numFmtId="0" fontId="21" fillId="0" borderId="9" xfId="0" applyFont="1" applyBorder="1" applyAlignment="1">
      <alignment vertical="top" wrapText="1"/>
    </xf>
    <xf numFmtId="7" fontId="2" fillId="0" borderId="0" xfId="0" applyNumberFormat="1" applyFont="1"/>
    <xf numFmtId="0" fontId="32" fillId="0" borderId="0" xfId="0" applyFont="1"/>
    <xf numFmtId="0" fontId="28" fillId="0" borderId="0" xfId="0" applyFont="1" applyAlignment="1">
      <alignment horizontal="right"/>
    </xf>
    <xf numFmtId="9" fontId="4" fillId="0" borderId="0" xfId="0" applyNumberFormat="1" applyFont="1" applyProtection="1">
      <protection locked="0"/>
    </xf>
    <xf numFmtId="0" fontId="0" fillId="2" borderId="11" xfId="0" applyFill="1" applyBorder="1"/>
    <xf numFmtId="0" fontId="0" fillId="2" borderId="12" xfId="0" applyFill="1" applyBorder="1"/>
    <xf numFmtId="0" fontId="0" fillId="2" borderId="13" xfId="0" applyFill="1" applyBorder="1"/>
    <xf numFmtId="0" fontId="17" fillId="2" borderId="0" xfId="0" applyFont="1" applyFill="1" applyProtection="1">
      <protection locked="0"/>
    </xf>
    <xf numFmtId="167" fontId="17" fillId="2" borderId="0" xfId="0" applyNumberFormat="1" applyFont="1" applyFill="1" applyProtection="1">
      <protection locked="0"/>
    </xf>
    <xf numFmtId="165" fontId="17" fillId="2" borderId="0" xfId="0" applyNumberFormat="1" applyFont="1" applyFill="1" applyProtection="1">
      <protection locked="0"/>
    </xf>
    <xf numFmtId="0" fontId="0" fillId="2" borderId="11" xfId="0" applyFill="1" applyBorder="1" applyProtection="1">
      <protection locked="0"/>
    </xf>
    <xf numFmtId="0" fontId="0" fillId="2" borderId="14" xfId="0" applyFill="1" applyBorder="1"/>
    <xf numFmtId="0" fontId="0" fillId="2" borderId="15" xfId="0" applyFill="1" applyBorder="1"/>
    <xf numFmtId="0" fontId="2" fillId="2" borderId="11" xfId="0" applyFont="1" applyFill="1" applyBorder="1"/>
    <xf numFmtId="0" fontId="36" fillId="4" borderId="3" xfId="0" applyFont="1" applyFill="1" applyBorder="1"/>
    <xf numFmtId="0" fontId="35" fillId="4" borderId="3" xfId="0" applyFont="1" applyFill="1" applyBorder="1"/>
    <xf numFmtId="0" fontId="0" fillId="2" borderId="16" xfId="0" applyFill="1" applyBorder="1"/>
    <xf numFmtId="166" fontId="17" fillId="2" borderId="0" xfId="0" applyNumberFormat="1" applyFont="1" applyFill="1" applyProtection="1">
      <protection locked="0"/>
    </xf>
    <xf numFmtId="9" fontId="17" fillId="2" borderId="0" xfId="0" applyNumberFormat="1" applyFont="1" applyFill="1" applyProtection="1">
      <protection locked="0"/>
    </xf>
    <xf numFmtId="0" fontId="36" fillId="4" borderId="0" xfId="0" applyFont="1" applyFill="1"/>
    <xf numFmtId="0" fontId="35" fillId="4" borderId="0" xfId="0" applyFont="1" applyFill="1"/>
    <xf numFmtId="166" fontId="6" fillId="4" borderId="1" xfId="0" applyNumberFormat="1" applyFont="1" applyFill="1" applyBorder="1"/>
    <xf numFmtId="0" fontId="2" fillId="4" borderId="1" xfId="0" applyFont="1" applyFill="1" applyBorder="1"/>
    <xf numFmtId="167" fontId="6" fillId="4" borderId="1" xfId="0" applyNumberFormat="1" applyFont="1" applyFill="1" applyBorder="1"/>
    <xf numFmtId="0" fontId="35" fillId="2" borderId="1" xfId="0" applyFont="1" applyFill="1" applyBorder="1"/>
    <xf numFmtId="0" fontId="17" fillId="2" borderId="1" xfId="0" applyFont="1" applyFill="1" applyBorder="1" applyProtection="1">
      <protection locked="0"/>
    </xf>
    <xf numFmtId="0" fontId="2" fillId="2" borderId="3" xfId="0" applyFont="1" applyFill="1" applyBorder="1"/>
    <xf numFmtId="3" fontId="17" fillId="2" borderId="0" xfId="0" applyNumberFormat="1" applyFont="1" applyFill="1" applyProtection="1">
      <protection locked="0"/>
    </xf>
    <xf numFmtId="0" fontId="0" fillId="2" borderId="17" xfId="0" applyFill="1" applyBorder="1"/>
    <xf numFmtId="0" fontId="37" fillId="0" borderId="0" xfId="0" applyFont="1"/>
    <xf numFmtId="0" fontId="37" fillId="0" borderId="0" xfId="0" applyFont="1" applyAlignment="1">
      <alignment horizontal="right"/>
    </xf>
    <xf numFmtId="167" fontId="17" fillId="2" borderId="1" xfId="0" applyNumberFormat="1" applyFont="1" applyFill="1" applyBorder="1" applyProtection="1">
      <protection locked="0"/>
    </xf>
    <xf numFmtId="0" fontId="0" fillId="2" borderId="3" xfId="0" applyFill="1" applyBorder="1" applyAlignment="1">
      <alignment horizontal="right"/>
    </xf>
    <xf numFmtId="0" fontId="17" fillId="2" borderId="0" xfId="0" applyFont="1" applyFill="1" applyAlignment="1" applyProtection="1">
      <alignment horizontal="right"/>
      <protection locked="0"/>
    </xf>
    <xf numFmtId="2" fontId="17" fillId="2" borderId="0" xfId="0" applyNumberFormat="1" applyFont="1" applyFill="1" applyAlignment="1" applyProtection="1">
      <alignment horizontal="right"/>
      <protection locked="0"/>
    </xf>
    <xf numFmtId="167" fontId="17" fillId="2" borderId="0" xfId="0" applyNumberFormat="1" applyFont="1" applyFill="1" applyAlignment="1" applyProtection="1">
      <alignment horizontal="right"/>
      <protection locked="0"/>
    </xf>
    <xf numFmtId="3" fontId="17" fillId="2" borderId="0" xfId="1" applyNumberFormat="1" applyFont="1" applyFill="1" applyBorder="1" applyProtection="1">
      <protection locked="0"/>
    </xf>
    <xf numFmtId="0" fontId="0" fillId="2" borderId="18" xfId="0" applyFill="1" applyBorder="1"/>
    <xf numFmtId="164" fontId="17" fillId="2" borderId="0" xfId="0" applyNumberFormat="1" applyFont="1" applyFill="1" applyProtection="1">
      <protection locked="0"/>
    </xf>
    <xf numFmtId="164" fontId="1" fillId="2" borderId="0" xfId="0" applyNumberFormat="1" applyFont="1" applyFill="1"/>
    <xf numFmtId="1" fontId="17" fillId="2" borderId="0" xfId="0" applyNumberFormat="1" applyFont="1" applyFill="1" applyAlignment="1" applyProtection="1">
      <alignment horizontal="right"/>
      <protection locked="0"/>
    </xf>
    <xf numFmtId="1" fontId="17" fillId="2" borderId="0" xfId="0" applyNumberFormat="1" applyFont="1" applyFill="1" applyProtection="1">
      <protection locked="0"/>
    </xf>
    <xf numFmtId="0" fontId="0" fillId="0" borderId="0" xfId="0" quotePrefix="1" applyAlignment="1">
      <alignment horizontal="left"/>
    </xf>
    <xf numFmtId="0" fontId="0" fillId="0" borderId="5" xfId="0" applyBorder="1"/>
    <xf numFmtId="3" fontId="0" fillId="0" borderId="0" xfId="0" applyNumberFormat="1"/>
    <xf numFmtId="0" fontId="1" fillId="5" borderId="0" xfId="0" applyFont="1" applyFill="1"/>
    <xf numFmtId="0" fontId="1" fillId="5" borderId="6" xfId="0" applyFont="1" applyFill="1" applyBorder="1"/>
    <xf numFmtId="3" fontId="1" fillId="5" borderId="6" xfId="0" applyNumberFormat="1" applyFont="1" applyFill="1" applyBorder="1"/>
    <xf numFmtId="167" fontId="0" fillId="2" borderId="0" xfId="0" applyNumberFormat="1" applyFill="1"/>
    <xf numFmtId="166" fontId="39" fillId="5" borderId="0" xfId="0" applyNumberFormat="1" applyFont="1" applyFill="1"/>
    <xf numFmtId="3" fontId="39" fillId="5" borderId="0" xfId="0" applyNumberFormat="1" applyFont="1" applyFill="1"/>
    <xf numFmtId="0" fontId="39" fillId="5" borderId="0" xfId="0" applyFont="1" applyFill="1"/>
    <xf numFmtId="166" fontId="0" fillId="5" borderId="0" xfId="0" applyNumberFormat="1" applyFill="1"/>
    <xf numFmtId="9" fontId="17" fillId="5" borderId="3" xfId="0" applyNumberFormat="1" applyFont="1" applyFill="1" applyBorder="1" applyAlignment="1" applyProtection="1">
      <alignment horizontal="left"/>
      <protection locked="0"/>
    </xf>
    <xf numFmtId="0" fontId="17" fillId="2" borderId="0" xfId="0" applyFont="1" applyFill="1" applyAlignment="1" applyProtection="1">
      <alignment horizontal="left"/>
      <protection locked="0"/>
    </xf>
    <xf numFmtId="0" fontId="1" fillId="4" borderId="0" xfId="0" applyFont="1" applyFill="1"/>
    <xf numFmtId="0" fontId="40" fillId="4" borderId="0" xfId="0" applyFont="1" applyFill="1"/>
    <xf numFmtId="0" fontId="40" fillId="4" borderId="6" xfId="0" applyFont="1" applyFill="1" applyBorder="1"/>
    <xf numFmtId="0" fontId="36" fillId="4" borderId="0" xfId="0" applyFont="1" applyFill="1" applyAlignment="1">
      <alignment horizontal="right"/>
    </xf>
    <xf numFmtId="3" fontId="40" fillId="4" borderId="0" xfId="0" applyNumberFormat="1" applyFont="1" applyFill="1"/>
    <xf numFmtId="0" fontId="40" fillId="4" borderId="0" xfId="0" quotePrefix="1" applyFont="1" applyFill="1"/>
    <xf numFmtId="164" fontId="40" fillId="4" borderId="0" xfId="0" quotePrefix="1" applyNumberFormat="1" applyFont="1" applyFill="1"/>
    <xf numFmtId="164" fontId="40" fillId="4" borderId="0" xfId="0" applyNumberFormat="1" applyFont="1" applyFill="1"/>
    <xf numFmtId="164" fontId="40" fillId="4" borderId="1" xfId="0" quotePrefix="1" applyNumberFormat="1" applyFont="1" applyFill="1" applyBorder="1"/>
    <xf numFmtId="0" fontId="40" fillId="4" borderId="1" xfId="0" applyFont="1" applyFill="1" applyBorder="1"/>
    <xf numFmtId="0" fontId="0" fillId="2" borderId="19" xfId="0" applyFill="1" applyBorder="1"/>
    <xf numFmtId="0" fontId="0" fillId="2" borderId="20" xfId="0" applyFill="1" applyBorder="1"/>
    <xf numFmtId="0" fontId="0" fillId="2" borderId="21" xfId="0" applyFill="1" applyBorder="1"/>
    <xf numFmtId="0" fontId="40" fillId="4" borderId="20" xfId="0" applyFont="1" applyFill="1" applyBorder="1"/>
    <xf numFmtId="0" fontId="40" fillId="4" borderId="21" xfId="0" applyFont="1" applyFill="1" applyBorder="1"/>
    <xf numFmtId="0" fontId="1" fillId="4" borderId="6" xfId="0" applyFont="1" applyFill="1" applyBorder="1"/>
    <xf numFmtId="0" fontId="1" fillId="5" borderId="2" xfId="0" applyFont="1" applyFill="1" applyBorder="1"/>
    <xf numFmtId="0" fontId="1" fillId="5" borderId="3" xfId="0" applyFont="1" applyFill="1" applyBorder="1"/>
    <xf numFmtId="0" fontId="40" fillId="5" borderId="3" xfId="0" applyFont="1" applyFill="1" applyBorder="1"/>
    <xf numFmtId="0" fontId="40" fillId="5" borderId="4" xfId="0" applyFont="1" applyFill="1" applyBorder="1"/>
    <xf numFmtId="0" fontId="40" fillId="5" borderId="7" xfId="0" applyFont="1" applyFill="1" applyBorder="1"/>
    <xf numFmtId="0" fontId="40" fillId="5" borderId="1" xfId="0" applyFont="1" applyFill="1" applyBorder="1"/>
    <xf numFmtId="0" fontId="40" fillId="5" borderId="8" xfId="0" applyFont="1" applyFill="1" applyBorder="1"/>
    <xf numFmtId="0" fontId="40" fillId="2" borderId="0" xfId="0" applyFont="1" applyFill="1"/>
    <xf numFmtId="0" fontId="36" fillId="2" borderId="0" xfId="0" applyFont="1" applyFill="1" applyAlignment="1">
      <alignment vertical="center"/>
    </xf>
    <xf numFmtId="0" fontId="40" fillId="4" borderId="2" xfId="0" applyFont="1" applyFill="1" applyBorder="1"/>
    <xf numFmtId="0" fontId="40" fillId="4" borderId="3" xfId="0" applyFont="1" applyFill="1" applyBorder="1"/>
    <xf numFmtId="0" fontId="40" fillId="4" borderId="4" xfId="0" applyFont="1" applyFill="1" applyBorder="1"/>
    <xf numFmtId="4" fontId="37" fillId="0" borderId="0" xfId="0" applyNumberFormat="1" applyFont="1"/>
    <xf numFmtId="3" fontId="37" fillId="0" borderId="0" xfId="0" applyNumberFormat="1" applyFont="1"/>
    <xf numFmtId="0" fontId="38" fillId="0" borderId="0" xfId="0" applyFont="1"/>
    <xf numFmtId="166" fontId="0" fillId="0" borderId="0" xfId="0" applyNumberFormat="1"/>
    <xf numFmtId="0" fontId="41" fillId="0" borderId="10" xfId="2" applyFont="1" applyFill="1" applyBorder="1" applyAlignment="1" applyProtection="1"/>
    <xf numFmtId="0" fontId="2" fillId="0" borderId="0" xfId="0" applyFont="1" applyAlignment="1">
      <alignment vertical="center"/>
    </xf>
    <xf numFmtId="0" fontId="0" fillId="0" borderId="0" xfId="0" applyAlignment="1">
      <alignment vertical="center"/>
    </xf>
    <xf numFmtId="0" fontId="12" fillId="0" borderId="0" xfId="0" applyFont="1"/>
    <xf numFmtId="0" fontId="42" fillId="0" borderId="0" xfId="0" applyFont="1"/>
    <xf numFmtId="0" fontId="43" fillId="0" borderId="0" xfId="0" applyFont="1" applyAlignment="1">
      <alignment vertical="center"/>
    </xf>
    <xf numFmtId="0" fontId="44" fillId="0" borderId="0" xfId="0" applyFont="1"/>
    <xf numFmtId="0" fontId="44" fillId="0" borderId="0" xfId="0" applyFont="1" applyProtection="1">
      <protection locked="0"/>
    </xf>
    <xf numFmtId="0" fontId="44" fillId="0" borderId="0" xfId="0" applyFont="1" applyAlignment="1">
      <alignment horizontal="right"/>
    </xf>
    <xf numFmtId="0" fontId="44" fillId="0" borderId="0" xfId="0" applyFont="1" applyAlignment="1">
      <alignment horizontal="left"/>
    </xf>
    <xf numFmtId="0" fontId="44" fillId="0" borderId="0" xfId="0" quotePrefix="1" applyFont="1" applyAlignment="1">
      <alignment horizontal="left"/>
    </xf>
    <xf numFmtId="0" fontId="44" fillId="0" borderId="0" xfId="0" quotePrefix="1" applyFont="1" applyAlignment="1">
      <alignment horizontal="right"/>
    </xf>
    <xf numFmtId="0" fontId="1" fillId="0" borderId="0" xfId="0" applyFont="1"/>
    <xf numFmtId="0" fontId="44" fillId="8" borderId="0" xfId="0" applyFont="1" applyFill="1"/>
    <xf numFmtId="0" fontId="4" fillId="2" borderId="0" xfId="0" applyFont="1" applyFill="1" applyAlignment="1" applyProtection="1">
      <alignment horizontal="right"/>
      <protection locked="0"/>
    </xf>
    <xf numFmtId="167" fontId="44" fillId="0" borderId="0" xfId="0" applyNumberFormat="1" applyFont="1"/>
    <xf numFmtId="1" fontId="44" fillId="0" borderId="0" xfId="0" applyNumberFormat="1" applyFont="1"/>
    <xf numFmtId="168" fontId="44" fillId="8" borderId="0" xfId="0" applyNumberFormat="1" applyFont="1" applyFill="1"/>
    <xf numFmtId="1" fontId="0" fillId="4" borderId="0" xfId="0" applyNumberFormat="1" applyFill="1"/>
    <xf numFmtId="0" fontId="44" fillId="0" borderId="0" xfId="0" applyFont="1" applyAlignment="1">
      <alignment horizontal="center"/>
    </xf>
    <xf numFmtId="0" fontId="1" fillId="2" borderId="0" xfId="0" applyFont="1" applyFill="1"/>
    <xf numFmtId="1" fontId="44" fillId="8" borderId="0" xfId="0" applyNumberFormat="1" applyFont="1" applyFill="1"/>
    <xf numFmtId="1" fontId="1" fillId="2" borderId="0" xfId="0" applyNumberFormat="1" applyFont="1" applyFill="1"/>
    <xf numFmtId="166" fontId="0" fillId="0" borderId="3" xfId="0" applyNumberFormat="1" applyBorder="1"/>
    <xf numFmtId="166" fontId="0" fillId="8" borderId="0" xfId="0" applyNumberFormat="1" applyFill="1"/>
    <xf numFmtId="166" fontId="44" fillId="0" borderId="0" xfId="0" applyNumberFormat="1" applyFont="1"/>
    <xf numFmtId="2" fontId="0" fillId="0" borderId="0" xfId="0" applyNumberFormat="1"/>
    <xf numFmtId="165" fontId="0" fillId="0" borderId="0" xfId="3" applyNumberFormat="1" applyFont="1" applyFill="1"/>
    <xf numFmtId="167" fontId="0" fillId="0" borderId="0" xfId="0" applyNumberFormat="1"/>
    <xf numFmtId="167" fontId="0" fillId="0" borderId="3" xfId="0" applyNumberFormat="1" applyBorder="1"/>
    <xf numFmtId="0" fontId="19" fillId="0" borderId="0" xfId="0" applyFont="1"/>
    <xf numFmtId="0" fontId="18" fillId="0" borderId="22" xfId="0" applyFont="1" applyBorder="1" applyAlignment="1">
      <alignment horizontal="center" wrapText="1"/>
    </xf>
    <xf numFmtId="0" fontId="22" fillId="7" borderId="0" xfId="0" applyFont="1" applyFill="1" applyAlignment="1">
      <alignment horizontal="center" vertical="center" wrapText="1"/>
    </xf>
    <xf numFmtId="0" fontId="23" fillId="7" borderId="0" xfId="0" applyFont="1" applyFill="1" applyAlignment="1">
      <alignment horizontal="center" vertical="center" wrapText="1"/>
    </xf>
    <xf numFmtId="0" fontId="0" fillId="0" borderId="0" xfId="0"/>
    <xf numFmtId="0" fontId="33" fillId="0" borderId="0" xfId="0" applyFont="1" applyAlignment="1">
      <alignment horizontal="center"/>
    </xf>
    <xf numFmtId="0" fontId="34" fillId="0" borderId="2" xfId="0" applyFont="1" applyBorder="1" applyAlignment="1">
      <alignment horizontal="center" vertical="center"/>
    </xf>
    <xf numFmtId="0" fontId="34" fillId="0" borderId="3" xfId="0" applyFont="1" applyBorder="1" applyAlignment="1">
      <alignment horizontal="center" vertical="center"/>
    </xf>
    <xf numFmtId="0" fontId="34" fillId="0" borderId="23" xfId="0" applyFont="1" applyBorder="1" applyAlignment="1">
      <alignment horizontal="center" vertical="center"/>
    </xf>
    <xf numFmtId="0" fontId="34" fillId="0" borderId="5" xfId="0" applyFont="1" applyBorder="1" applyAlignment="1">
      <alignment horizontal="center" vertical="center"/>
    </xf>
    <xf numFmtId="0" fontId="34" fillId="0" borderId="0" xfId="0" applyFont="1" applyAlignment="1">
      <alignment horizontal="center" vertical="center"/>
    </xf>
    <xf numFmtId="0" fontId="34" fillId="0" borderId="24" xfId="0" applyFont="1" applyBorder="1" applyAlignment="1">
      <alignment horizontal="center" vertical="center"/>
    </xf>
    <xf numFmtId="0" fontId="34" fillId="0" borderId="25" xfId="0" applyFont="1" applyBorder="1" applyAlignment="1">
      <alignment horizontal="center" vertical="center"/>
    </xf>
    <xf numFmtId="0" fontId="34" fillId="0" borderId="26" xfId="0" applyFont="1" applyBorder="1" applyAlignment="1">
      <alignment horizontal="center" vertical="center"/>
    </xf>
    <xf numFmtId="0" fontId="34" fillId="0" borderId="27" xfId="0" applyFont="1" applyBorder="1" applyAlignment="1">
      <alignment horizontal="center" vertical="center"/>
    </xf>
    <xf numFmtId="0" fontId="22" fillId="0" borderId="0" xfId="0" applyFont="1" applyAlignment="1">
      <alignment horizontal="center" vertical="center" wrapText="1"/>
    </xf>
    <xf numFmtId="0" fontId="23" fillId="0" borderId="0" xfId="0" applyFont="1" applyAlignment="1">
      <alignment horizontal="center" vertical="center" wrapText="1"/>
    </xf>
    <xf numFmtId="0" fontId="30" fillId="0" borderId="0" xfId="0" applyFont="1" applyAlignment="1">
      <alignment horizontal="center" vertical="center"/>
    </xf>
    <xf numFmtId="0" fontId="2" fillId="0" borderId="0" xfId="0" applyFont="1" applyAlignment="1">
      <alignment horizontal="center"/>
    </xf>
    <xf numFmtId="0" fontId="4" fillId="2" borderId="0" xfId="0" applyFont="1" applyFill="1" applyAlignment="1" applyProtection="1">
      <alignment horizontal="left"/>
      <protection locked="0"/>
    </xf>
    <xf numFmtId="0" fontId="4" fillId="2" borderId="6" xfId="0" applyFont="1" applyFill="1" applyBorder="1" applyAlignment="1" applyProtection="1">
      <alignment horizontal="left"/>
      <protection locked="0"/>
    </xf>
    <xf numFmtId="0" fontId="17" fillId="2" borderId="0" xfId="0" applyFont="1" applyFill="1" applyAlignment="1" applyProtection="1">
      <alignment horizontal="left"/>
      <protection locked="0"/>
    </xf>
    <xf numFmtId="0" fontId="17" fillId="2" borderId="28" xfId="0" applyFont="1" applyFill="1" applyBorder="1" applyAlignment="1" applyProtection="1">
      <alignment horizontal="left"/>
      <protection locked="0"/>
    </xf>
    <xf numFmtId="0" fontId="44" fillId="0" borderId="0" xfId="0" applyFont="1" applyAlignment="1">
      <alignment horizontal="center"/>
    </xf>
    <xf numFmtId="0" fontId="17" fillId="2" borderId="0" xfId="0" applyFont="1" applyFill="1" applyAlignment="1" applyProtection="1">
      <alignment horizontal="center"/>
      <protection locked="0"/>
    </xf>
    <xf numFmtId="0" fontId="36" fillId="5" borderId="3" xfId="0" applyFont="1" applyFill="1" applyBorder="1" applyAlignment="1">
      <alignment vertical="center"/>
    </xf>
    <xf numFmtId="0" fontId="36" fillId="5" borderId="1" xfId="0" applyFont="1" applyFill="1" applyBorder="1" applyAlignment="1">
      <alignment vertical="center"/>
    </xf>
  </cellXfs>
  <cellStyles count="4">
    <cellStyle name="Comma" xfId="1" builtinId="3"/>
    <cellStyle name="Hyperlink" xfId="2" builtinId="8"/>
    <cellStyle name="Normal" xfId="0" builtinId="0"/>
    <cellStyle name="Percent" xfId="3" builtinId="5"/>
  </cellStyles>
  <dxfs count="1">
    <dxf>
      <font>
        <condense val="0"/>
        <extend val="0"/>
        <color auto="1"/>
      </font>
      <fill>
        <patternFill>
          <bgColor indexed="10"/>
        </patternFill>
      </fill>
    </dxf>
  </dxfs>
  <tableStyles count="1" defaultTableStyle="TableStyleMedium2" defaultPivotStyle="PivotStyleLight16">
    <tableStyle name="Invisible" pivot="0" table="0" count="0" xr9:uid="{C8D27FE3-DB02-4794-A208-E9FD3AA18A0A}"/>
  </tableStyle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eetMetadata" Target="metadata.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haredStrings" Target="sharedStrings.xml"/><Relationship Id="rId5" Type="http://schemas.openxmlformats.org/officeDocument/2006/relationships/worksheet" Target="worksheets/sheet5.xml"/><Relationship Id="rId10"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theme" Target="theme/theme1.xml"/></Relationships>
</file>

<file path=xl/activeX/_rels/activeX1.xml.rels><?xml version="1.0" encoding="UTF-8" standalone="yes"?>
<Relationships xmlns="http://schemas.openxmlformats.org/package/2006/relationships"><Relationship Id="rId1" Type="http://schemas.microsoft.com/office/2006/relationships/activeXControlBinary" Target="activeX1.bin"/></Relationships>
</file>

<file path=xl/activeX/_rels/activeX2.xml.rels><?xml version="1.0" encoding="UTF-8" standalone="yes"?>
<Relationships xmlns="http://schemas.openxmlformats.org/package/2006/relationships"><Relationship Id="rId1" Type="http://schemas.microsoft.com/office/2006/relationships/activeXControlBinary" Target="activeX2.bin"/></Relationships>
</file>

<file path=xl/activeX/_rels/activeX3.xml.rels><?xml version="1.0" encoding="UTF-8" standalone="yes"?>
<Relationships xmlns="http://schemas.openxmlformats.org/package/2006/relationships"><Relationship Id="rId1" Type="http://schemas.microsoft.com/office/2006/relationships/activeXControlBinary" Target="activeX3.bin"/></Relationships>
</file>

<file path=xl/activeX/activeX1.xml><?xml version="1.0" encoding="utf-8"?>
<ax:ocx xmlns:ax="http://schemas.microsoft.com/office/2006/activeX" xmlns:r="http://schemas.openxmlformats.org/officeDocument/2006/relationships" ax:classid="{D7053240-CE69-11CD-A777-00DD01143C57}" r:id="rId1"/>
</file>

<file path=xl/activeX/activeX2.xml><?xml version="1.0" encoding="utf-8"?>
<ax:ocx xmlns:ax="http://schemas.microsoft.com/office/2006/activeX" xmlns:r="http://schemas.openxmlformats.org/officeDocument/2006/relationships" ax:classid="{D7053240-CE69-11CD-A777-00DD01143C57}" r:id="rId1"/>
</file>

<file path=xl/activeX/activeX3.xml><?xml version="1.0" encoding="utf-8"?>
<ax:ocx xmlns:ax="http://schemas.microsoft.com/office/2006/activeX" xmlns:r="http://schemas.openxmlformats.org/officeDocument/2006/relationships" ax:classid="{D7053240-CE69-11CD-A777-00DD01143C57}" r:id="rId1"/>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0.15203426124197003"/>
          <c:y val="8.6274840206955444E-2"/>
          <c:w val="0.78158458244111351"/>
          <c:h val="0.63137496696908302"/>
        </c:manualLayout>
      </c:layout>
      <c:scatterChart>
        <c:scatterStyle val="lineMarker"/>
        <c:varyColors val="0"/>
        <c:ser>
          <c:idx val="0"/>
          <c:order val="0"/>
          <c:spPr>
            <a:ln w="25400">
              <a:solidFill>
                <a:srgbClr val="000080"/>
              </a:solidFill>
              <a:prstDash val="solid"/>
            </a:ln>
          </c:spPr>
          <c:marker>
            <c:symbol val="diamond"/>
            <c:size val="5"/>
            <c:spPr>
              <a:solidFill>
                <a:srgbClr val="000080"/>
              </a:solidFill>
              <a:ln>
                <a:solidFill>
                  <a:srgbClr val="000080"/>
                </a:solidFill>
                <a:prstDash val="solid"/>
              </a:ln>
            </c:spPr>
          </c:marker>
          <c:xVal>
            <c:numRef>
              <c:f>combine!$C$43:$C$52</c:f>
              <c:numCache>
                <c:formatCode>#,##0</c:formatCode>
                <c:ptCount val="10"/>
                <c:pt idx="0">
                  <c:v>700</c:v>
                </c:pt>
                <c:pt idx="1">
                  <c:v>1000</c:v>
                </c:pt>
                <c:pt idx="2">
                  <c:v>1300</c:v>
                </c:pt>
                <c:pt idx="3">
                  <c:v>1600</c:v>
                </c:pt>
                <c:pt idx="4">
                  <c:v>1900</c:v>
                </c:pt>
                <c:pt idx="5">
                  <c:v>2200</c:v>
                </c:pt>
                <c:pt idx="6">
                  <c:v>2500</c:v>
                </c:pt>
                <c:pt idx="7">
                  <c:v>2800</c:v>
                </c:pt>
                <c:pt idx="8">
                  <c:v>3100</c:v>
                </c:pt>
                <c:pt idx="9">
                  <c:v>3400</c:v>
                </c:pt>
              </c:numCache>
            </c:numRef>
          </c:xVal>
          <c:yVal>
            <c:numRef>
              <c:f>combine!$D$43:$D$52</c:f>
              <c:numCache>
                <c:formatCode>"$"#,##0.00</c:formatCode>
                <c:ptCount val="10"/>
                <c:pt idx="0">
                  <c:v>169.25</c:v>
                </c:pt>
                <c:pt idx="1">
                  <c:v>121.29999999999998</c:v>
                </c:pt>
                <c:pt idx="2">
                  <c:v>95.7</c:v>
                </c:pt>
                <c:pt idx="3">
                  <c:v>79.759999999999977</c:v>
                </c:pt>
                <c:pt idx="4">
                  <c:v>68.98</c:v>
                </c:pt>
                <c:pt idx="5">
                  <c:v>61.21</c:v>
                </c:pt>
                <c:pt idx="6">
                  <c:v>55.41</c:v>
                </c:pt>
                <c:pt idx="7">
                  <c:v>50.95</c:v>
                </c:pt>
                <c:pt idx="8">
                  <c:v>47.359999999999992</c:v>
                </c:pt>
                <c:pt idx="9">
                  <c:v>44.51</c:v>
                </c:pt>
              </c:numCache>
            </c:numRef>
          </c:yVal>
          <c:smooth val="0"/>
          <c:extLst>
            <c:ext xmlns:c16="http://schemas.microsoft.com/office/drawing/2014/chart" uri="{C3380CC4-5D6E-409C-BE32-E72D297353CC}">
              <c16:uniqueId val="{00000000-4D0B-4532-AED4-A58BBF11E917}"/>
            </c:ext>
          </c:extLst>
        </c:ser>
        <c:dLbls>
          <c:showLegendKey val="0"/>
          <c:showVal val="0"/>
          <c:showCatName val="0"/>
          <c:showSerName val="0"/>
          <c:showPercent val="0"/>
          <c:showBubbleSize val="0"/>
        </c:dLbls>
        <c:axId val="506118800"/>
        <c:axId val="1"/>
      </c:scatterChart>
      <c:valAx>
        <c:axId val="506118800"/>
        <c:scaling>
          <c:orientation val="minMax"/>
          <c:max val="3500"/>
          <c:min val="500"/>
        </c:scaling>
        <c:delete val="0"/>
        <c:axPos val="b"/>
        <c:title>
          <c:tx>
            <c:rich>
              <a:bodyPr/>
              <a:lstStyle/>
              <a:p>
                <a:pPr>
                  <a:defRPr sz="925" b="1" i="0" u="none" strike="noStrike" baseline="0">
                    <a:solidFill>
                      <a:srgbClr val="000000"/>
                    </a:solidFill>
                    <a:latin typeface="Arial"/>
                    <a:ea typeface="Arial"/>
                    <a:cs typeface="Arial"/>
                  </a:defRPr>
                </a:pPr>
                <a:r>
                  <a:rPr lang="en-US"/>
                  <a:t>Acres Harvested</a:t>
                </a:r>
              </a:p>
            </c:rich>
          </c:tx>
          <c:layout>
            <c:manualLayout>
              <c:xMode val="edge"/>
              <c:yMode val="edge"/>
              <c:x val="0.43683076032818735"/>
              <c:y val="0.83529741135299262"/>
            </c:manualLayout>
          </c:layout>
          <c:overlay val="0"/>
          <c:spPr>
            <a:noFill/>
            <a:ln w="25400">
              <a:noFill/>
            </a:ln>
          </c:spPr>
        </c:title>
        <c:numFmt formatCode="#,##0" sourceLinked="1"/>
        <c:majorTickMark val="out"/>
        <c:minorTickMark val="none"/>
        <c:tickLblPos val="nextTo"/>
        <c:spPr>
          <a:ln w="3175">
            <a:solidFill>
              <a:srgbClr val="000000"/>
            </a:solidFill>
            <a:prstDash val="solid"/>
          </a:ln>
        </c:spPr>
        <c:txPr>
          <a:bodyPr rot="0" vert="horz"/>
          <a:lstStyle/>
          <a:p>
            <a:pPr>
              <a:defRPr sz="925" b="1" i="0" u="none" strike="noStrike" baseline="0">
                <a:solidFill>
                  <a:srgbClr val="000000"/>
                </a:solidFill>
                <a:latin typeface="Arial"/>
                <a:ea typeface="Arial"/>
                <a:cs typeface="Arial"/>
              </a:defRPr>
            </a:pPr>
            <a:endParaRPr lang="en-US"/>
          </a:p>
        </c:txPr>
        <c:crossAx val="1"/>
        <c:crosses val="autoZero"/>
        <c:crossBetween val="midCat"/>
      </c:valAx>
      <c:valAx>
        <c:axId val="1"/>
        <c:scaling>
          <c:orientation val="minMax"/>
        </c:scaling>
        <c:delete val="0"/>
        <c:axPos val="l"/>
        <c:title>
          <c:tx>
            <c:rich>
              <a:bodyPr/>
              <a:lstStyle/>
              <a:p>
                <a:pPr>
                  <a:defRPr sz="925" b="1" i="0" u="none" strike="noStrike" baseline="0">
                    <a:solidFill>
                      <a:srgbClr val="000000"/>
                    </a:solidFill>
                    <a:latin typeface="Arial"/>
                    <a:ea typeface="Arial"/>
                    <a:cs typeface="Arial"/>
                  </a:defRPr>
                </a:pPr>
                <a:r>
                  <a:rPr lang="en-US"/>
                  <a:t>$ per Acre</a:t>
                </a:r>
              </a:p>
            </c:rich>
          </c:tx>
          <c:layout>
            <c:manualLayout>
              <c:xMode val="edge"/>
              <c:yMode val="edge"/>
              <c:x val="3.4261061855457048E-2"/>
              <c:y val="0.27843260768874478"/>
            </c:manualLayout>
          </c:layout>
          <c:overlay val="0"/>
          <c:spPr>
            <a:noFill/>
            <a:ln w="25400">
              <a:noFill/>
            </a:ln>
          </c:spPr>
        </c:title>
        <c:numFmt formatCode="\$#,##0" sourceLinked="0"/>
        <c:majorTickMark val="out"/>
        <c:minorTickMark val="none"/>
        <c:tickLblPos val="nextTo"/>
        <c:spPr>
          <a:ln w="3175">
            <a:solidFill>
              <a:srgbClr val="000000"/>
            </a:solidFill>
            <a:prstDash val="solid"/>
          </a:ln>
        </c:spPr>
        <c:txPr>
          <a:bodyPr rot="0" vert="horz"/>
          <a:lstStyle/>
          <a:p>
            <a:pPr>
              <a:defRPr sz="925" b="1" i="0" u="none" strike="noStrike" baseline="0">
                <a:solidFill>
                  <a:srgbClr val="000000"/>
                </a:solidFill>
                <a:latin typeface="Arial"/>
                <a:ea typeface="Arial"/>
                <a:cs typeface="Arial"/>
              </a:defRPr>
            </a:pPr>
            <a:endParaRPr lang="en-US"/>
          </a:p>
        </c:txPr>
        <c:crossAx val="506118800"/>
        <c:crosses val="autoZero"/>
        <c:crossBetween val="midCat"/>
      </c:valAx>
      <c:spPr>
        <a:no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925" b="0" i="0" u="none" strike="noStrike" baseline="0">
          <a:solidFill>
            <a:srgbClr val="000000"/>
          </a:solidFill>
          <a:latin typeface="Arial"/>
          <a:ea typeface="Arial"/>
          <a:cs typeface="Arial"/>
        </a:defRPr>
      </a:pPr>
      <a:endParaRPr lang="en-US"/>
    </a:p>
  </c:txPr>
  <c:printSettings>
    <c:headerFooter alignWithMargins="0"/>
    <c:pageMargins b="1" l="0.75" r="0.75" t="1" header="0.5" footer="0.5"/>
    <c:pageSetup/>
  </c:printSettings>
</c:chartSpace>
</file>

<file path=xl/ctrlProps/ctrlProp1.xml><?xml version="1.0" encoding="utf-8"?>
<formControlPr xmlns="http://schemas.microsoft.com/office/spreadsheetml/2009/9/main" objectType="Button" lockText="1"/>
</file>

<file path=xl/ctrlProps/ctrlProp2.xml><?xml version="1.0" encoding="utf-8"?>
<formControlPr xmlns="http://schemas.microsoft.com/office/spreadsheetml/2009/9/main" objectType="Button" lockText="1"/>
</file>

<file path=xl/ctrlProps/ctrlProp3.xml><?xml version="1.0" encoding="utf-8"?>
<formControlPr xmlns="http://schemas.microsoft.com/office/spreadsheetml/2009/9/main" objectType="Button" lockText="1"/>
</file>

<file path=xl/ctrlProps/ctrlProp4.xml><?xml version="1.0" encoding="utf-8"?>
<formControlPr xmlns="http://schemas.microsoft.com/office/spreadsheetml/2009/9/main" objectType="Button" lockText="1"/>
</file>

<file path=xl/ctrlProps/ctrlProp5.xml><?xml version="1.0" encoding="utf-8"?>
<formControlPr xmlns="http://schemas.microsoft.com/office/spreadsheetml/2009/9/main" objectType="Button" lockText="1"/>
</file>

<file path=xl/ctrlProps/ctrlProp6.xml><?xml version="1.0" encoding="utf-8"?>
<formControlPr xmlns="http://schemas.microsoft.com/office/spreadsheetml/2009/9/main" objectType="Button" lockText="1"/>
</file>

<file path=xl/ctrlProps/ctrlProp7.xml><?xml version="1.0" encoding="utf-8"?>
<formControlPr xmlns="http://schemas.microsoft.com/office/spreadsheetml/2009/9/main" objectType="Button" lockText="1"/>
</file>

<file path=xl/ctrlProps/ctrlProp8.xml><?xml version="1.0" encoding="utf-8"?>
<formControlPr xmlns="http://schemas.microsoft.com/office/spreadsheetml/2009/9/main" objectType="Button" lockText="1"/>
</file>

<file path=xl/ctrlProps/ctrlProp9.xml><?xml version="1.0" encoding="utf-8"?>
<formControlPr xmlns="http://schemas.microsoft.com/office/spreadsheetml/2009/9/main" objectType="Button" lockText="1"/>
</file>

<file path=xl/ctrlProps/ctrlProp10.xml><?xml version="1.0" encoding="utf-8"?>
<formControlPr xmlns="http://schemas.microsoft.com/office/spreadsheetml/2009/9/main" objectType="Button" lockText="1"/>
</file>

<file path=xl/ctrlProps/ctrlProp11.xml><?xml version="1.0" encoding="utf-8"?>
<formControlPr xmlns="http://schemas.microsoft.com/office/spreadsheetml/2009/9/main" objectType="Button" lockText="1"/>
</file>

<file path=xl/ctrlProps/ctrlProp12.xml><?xml version="1.0" encoding="utf-8"?>
<formControlPr xmlns="http://schemas.microsoft.com/office/spreadsheetml/2009/9/main" objectType="Button" lockText="1"/>
</file>

<file path=xl/ctrlProps/ctrlProp13.xml><?xml version="1.0" encoding="utf-8"?>
<formControlPr xmlns="http://schemas.microsoft.com/office/spreadsheetml/2009/9/main" objectType="Button" lockText="1"/>
</file>

<file path=xl/ctrlProps/ctrlProp14.xml><?xml version="1.0" encoding="utf-8"?>
<formControlPr xmlns="http://schemas.microsoft.com/office/spreadsheetml/2009/9/main" objectType="Button" lockText="1"/>
</file>

<file path=xl/ctrlProps/ctrlProp15.xml><?xml version="1.0" encoding="utf-8"?>
<formControlPr xmlns="http://schemas.microsoft.com/office/spreadsheetml/2009/9/main" objectType="Button" lockText="1"/>
</file>

<file path=xl/ctrlProps/ctrlProp16.xml><?xml version="1.0" encoding="utf-8"?>
<formControlPr xmlns="http://schemas.microsoft.com/office/spreadsheetml/2009/9/main" objectType="Button" lockText="1"/>
</file>

<file path=xl/ctrlProps/ctrlProp17.xml><?xml version="1.0" encoding="utf-8"?>
<formControlPr xmlns="http://schemas.microsoft.com/office/spreadsheetml/2009/9/main" objectType="Button" lockText="1"/>
</file>

<file path=xl/ctrlProps/ctrlProp18.xml><?xml version="1.0" encoding="utf-8"?>
<formControlPr xmlns="http://schemas.microsoft.com/office/spreadsheetml/2009/9/main" objectType="Button" lockText="1"/>
</file>

<file path=xl/ctrlProps/ctrlProp19.xml><?xml version="1.0" encoding="utf-8"?>
<formControlPr xmlns="http://schemas.microsoft.com/office/spreadsheetml/2009/9/main" objectType="Button" lockText="1"/>
</file>

<file path=xl/ctrlProps/ctrlProp20.xml><?xml version="1.0" encoding="utf-8"?>
<formControlPr xmlns="http://schemas.microsoft.com/office/spreadsheetml/2009/9/main" objectType="Button" lockText="1"/>
</file>

<file path=xl/ctrlProps/ctrlProp21.xml><?xml version="1.0" encoding="utf-8"?>
<formControlPr xmlns="http://schemas.microsoft.com/office/spreadsheetml/2009/9/main" objectType="Button" lockText="1"/>
</file>

<file path=xl/ctrlProps/ctrlProp22.xml><?xml version="1.0" encoding="utf-8"?>
<formControlPr xmlns="http://schemas.microsoft.com/office/spreadsheetml/2009/9/main" objectType="Button" lockText="1"/>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7" Type="http://schemas.openxmlformats.org/officeDocument/2006/relationships/hyperlink" Target="#'Security Settings'!A1"/><Relationship Id="rId2" Type="http://schemas.openxmlformats.org/officeDocument/2006/relationships/image" Target="../media/image2.png"/><Relationship Id="rId1" Type="http://schemas.openxmlformats.org/officeDocument/2006/relationships/image" Target="../media/image1.jpeg"/><Relationship Id="rId6" Type="http://schemas.openxmlformats.org/officeDocument/2006/relationships/hyperlink" Target="#'Security Settings'!A84"/><Relationship Id="rId5" Type="http://schemas.openxmlformats.org/officeDocument/2006/relationships/hyperlink" Target="#'Security Settings'!A42"/><Relationship Id="rId4" Type="http://schemas.openxmlformats.org/officeDocument/2006/relationships/image" Target="../media/image4.png"/></Relationships>
</file>

<file path=xl/drawings/_rels/drawing2.xml.rels><?xml version="1.0" encoding="UTF-8" standalone="yes"?>
<Relationships xmlns="http://schemas.openxmlformats.org/package/2006/relationships"><Relationship Id="rId8" Type="http://schemas.openxmlformats.org/officeDocument/2006/relationships/image" Target="../media/image8.png"/><Relationship Id="rId3" Type="http://schemas.openxmlformats.org/officeDocument/2006/relationships/hyperlink" Target="http://www.rma.usda.gov/" TargetMode="External"/><Relationship Id="rId7" Type="http://schemas.openxmlformats.org/officeDocument/2006/relationships/hyperlink" Target="https://farmdoc.illinois.edu/fast" TargetMode="External"/><Relationship Id="rId2" Type="http://schemas.openxmlformats.org/officeDocument/2006/relationships/hyperlink" Target="#'Security Settings'!A1"/><Relationship Id="rId1" Type="http://schemas.openxmlformats.org/officeDocument/2006/relationships/image" Target="../media/image1.jpeg"/><Relationship Id="rId6" Type="http://schemas.openxmlformats.org/officeDocument/2006/relationships/image" Target="../media/image7.jpeg"/><Relationship Id="rId5" Type="http://schemas.openxmlformats.org/officeDocument/2006/relationships/hyperlink" Target="https://ace.illinois.edu/" TargetMode="External"/><Relationship Id="rId4" Type="http://schemas.openxmlformats.org/officeDocument/2006/relationships/image" Target="../media/image6.jpeg"/></Relationships>
</file>

<file path=xl/drawings/_rels/drawing3.xml.rels><?xml version="1.0" encoding="UTF-8" standalone="yes"?>
<Relationships xmlns="http://schemas.openxmlformats.org/package/2006/relationships"><Relationship Id="rId1" Type="http://schemas.openxmlformats.org/officeDocument/2006/relationships/image" Target="../media/image1.jpeg"/></Relationships>
</file>

<file path=xl/drawings/_rels/drawing4.xml.rels><?xml version="1.0" encoding="UTF-8" standalone="yes"?>
<Relationships xmlns="http://schemas.openxmlformats.org/package/2006/relationships"><Relationship Id="rId1" Type="http://schemas.openxmlformats.org/officeDocument/2006/relationships/image" Target="../media/image1.jpeg"/></Relationships>
</file>

<file path=xl/drawings/_rels/drawing5.xml.rels><?xml version="1.0" encoding="UTF-8" standalone="yes"?>
<Relationships xmlns="http://schemas.openxmlformats.org/package/2006/relationships"><Relationship Id="rId2" Type="http://schemas.openxmlformats.org/officeDocument/2006/relationships/chart" Target="../charts/chart1.xml"/><Relationship Id="rId1" Type="http://schemas.openxmlformats.org/officeDocument/2006/relationships/image" Target="../media/image1.jpeg"/></Relationships>
</file>

<file path=xl/drawings/_rels/drawing6.xml.rels><?xml version="1.0" encoding="UTF-8" standalone="yes"?>
<Relationships xmlns="http://schemas.openxmlformats.org/package/2006/relationships"><Relationship Id="rId1" Type="http://schemas.openxmlformats.org/officeDocument/2006/relationships/image" Target="../media/image1.jpeg"/></Relationships>
</file>

<file path=xl/drawings/_rels/drawing7.x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1.vml.rels><?xml version="1.0" encoding="UTF-8" standalone="yes"?>
<Relationships xmlns="http://schemas.openxmlformats.org/package/2006/relationships"><Relationship Id="rId1" Type="http://schemas.openxmlformats.org/officeDocument/2006/relationships/image" Target="../media/image5.emf"/></Relationships>
</file>

<file path=xl/drawings/_rels/vmlDrawing5.vml.rels><?xml version="1.0" encoding="UTF-8" standalone="yes"?>
<Relationships xmlns="http://schemas.openxmlformats.org/package/2006/relationships"><Relationship Id="rId2" Type="http://schemas.openxmlformats.org/officeDocument/2006/relationships/image" Target="../media/image9.emf"/><Relationship Id="rId1" Type="http://schemas.openxmlformats.org/officeDocument/2006/relationships/image" Target="../media/image10.emf"/></Relationships>
</file>

<file path=xl/drawings/drawing1.xml><?xml version="1.0" encoding="utf-8"?>
<xdr:wsDr xmlns:xdr="http://schemas.openxmlformats.org/drawingml/2006/spreadsheetDrawing" xmlns:a="http://schemas.openxmlformats.org/drawingml/2006/main">
  <xdr:twoCellAnchor>
    <xdr:from>
      <xdr:col>8</xdr:col>
      <xdr:colOff>533400</xdr:colOff>
      <xdr:row>0</xdr:row>
      <xdr:rowOff>45720</xdr:rowOff>
    </xdr:from>
    <xdr:to>
      <xdr:col>11</xdr:col>
      <xdr:colOff>45720</xdr:colOff>
      <xdr:row>3</xdr:row>
      <xdr:rowOff>68580</xdr:rowOff>
    </xdr:to>
    <xdr:pic>
      <xdr:nvPicPr>
        <xdr:cNvPr id="4424" name="Picture 1" descr="fastbluegreensmallfast">
          <a:extLst>
            <a:ext uri="{FF2B5EF4-FFF2-40B4-BE49-F238E27FC236}">
              <a16:creationId xmlns:a16="http://schemas.microsoft.com/office/drawing/2014/main" id="{00000000-0008-0000-0000-0000481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556760" y="45720"/>
          <a:ext cx="1341120" cy="5791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304800</xdr:colOff>
      <xdr:row>39</xdr:row>
      <xdr:rowOff>45720</xdr:rowOff>
    </xdr:from>
    <xdr:to>
      <xdr:col>8</xdr:col>
      <xdr:colOff>419100</xdr:colOff>
      <xdr:row>50</xdr:row>
      <xdr:rowOff>91440</xdr:rowOff>
    </xdr:to>
    <xdr:pic>
      <xdr:nvPicPr>
        <xdr:cNvPr id="4425" name="Picture 2">
          <a:extLst>
            <a:ext uri="{FF2B5EF4-FFF2-40B4-BE49-F238E27FC236}">
              <a16:creationId xmlns:a16="http://schemas.microsoft.com/office/drawing/2014/main" id="{00000000-0008-0000-0000-000049110000}"/>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670560" y="22067520"/>
          <a:ext cx="3771900" cy="188976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1">
              <a:solidFill>
                <a:srgbClr val="000000"/>
              </a:solidFill>
              <a:miter lim="800000"/>
              <a:headEnd/>
              <a:tailEnd/>
            </a14:hiddenLine>
          </a:ext>
        </a:extLst>
      </xdr:spPr>
    </xdr:pic>
    <xdr:clientData/>
  </xdr:twoCellAnchor>
  <xdr:twoCellAnchor>
    <xdr:from>
      <xdr:col>4</xdr:col>
      <xdr:colOff>579120</xdr:colOff>
      <xdr:row>49</xdr:row>
      <xdr:rowOff>121920</xdr:rowOff>
    </xdr:from>
    <xdr:to>
      <xdr:col>5</xdr:col>
      <xdr:colOff>274320</xdr:colOff>
      <xdr:row>55</xdr:row>
      <xdr:rowOff>38100</xdr:rowOff>
    </xdr:to>
    <xdr:sp macro="" textlink="">
      <xdr:nvSpPr>
        <xdr:cNvPr id="4426" name="Line 3">
          <a:extLst>
            <a:ext uri="{FF2B5EF4-FFF2-40B4-BE49-F238E27FC236}">
              <a16:creationId xmlns:a16="http://schemas.microsoft.com/office/drawing/2014/main" id="{00000000-0008-0000-0000-00004A110000}"/>
            </a:ext>
          </a:extLst>
        </xdr:cNvPr>
        <xdr:cNvSpPr>
          <a:spLocks noChangeShapeType="1"/>
        </xdr:cNvSpPr>
      </xdr:nvSpPr>
      <xdr:spPr bwMode="auto">
        <a:xfrm flipV="1">
          <a:off x="2164080" y="23820120"/>
          <a:ext cx="304800" cy="922020"/>
        </a:xfrm>
        <a:prstGeom prst="line">
          <a:avLst/>
        </a:prstGeom>
        <a:noFill/>
        <a:ln w="476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2</xdr:col>
      <xdr:colOff>350520</xdr:colOff>
      <xdr:row>66</xdr:row>
      <xdr:rowOff>129540</xdr:rowOff>
    </xdr:from>
    <xdr:to>
      <xdr:col>9</xdr:col>
      <xdr:colOff>266700</xdr:colOff>
      <xdr:row>69</xdr:row>
      <xdr:rowOff>68580</xdr:rowOff>
    </xdr:to>
    <xdr:pic>
      <xdr:nvPicPr>
        <xdr:cNvPr id="4427" name="Picture 18">
          <a:extLst>
            <a:ext uri="{FF2B5EF4-FFF2-40B4-BE49-F238E27FC236}">
              <a16:creationId xmlns:a16="http://schemas.microsoft.com/office/drawing/2014/main" id="{00000000-0008-0000-0000-00004B110000}"/>
            </a:ext>
          </a:extLst>
        </xdr:cNvPr>
        <xdr:cNvPicPr>
          <a:picLocks noChangeAspect="1" noChangeArrowheads="1"/>
        </xdr:cNvPicPr>
      </xdr:nvPicPr>
      <xdr:blipFill>
        <a:blip xmlns:r="http://schemas.openxmlformats.org/officeDocument/2006/relationships" r:embed="rId3">
          <a:extLst>
            <a:ext uri="{28A0092B-C50C-407E-A947-70E740481C1C}">
              <a14:useLocalDpi xmlns:a14="http://schemas.microsoft.com/office/drawing/2010/main" val="0"/>
            </a:ext>
          </a:extLst>
        </a:blip>
        <a:srcRect t="13257" r="67009" b="82378"/>
        <a:stretch>
          <a:fillRect/>
        </a:stretch>
      </xdr:blipFill>
      <xdr:spPr bwMode="auto">
        <a:xfrm>
          <a:off x="716280" y="42108120"/>
          <a:ext cx="4183380" cy="44196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312420</xdr:colOff>
      <xdr:row>73</xdr:row>
      <xdr:rowOff>91440</xdr:rowOff>
    </xdr:from>
    <xdr:to>
      <xdr:col>9</xdr:col>
      <xdr:colOff>426720</xdr:colOff>
      <xdr:row>100</xdr:row>
      <xdr:rowOff>0</xdr:rowOff>
    </xdr:to>
    <xdr:pic>
      <xdr:nvPicPr>
        <xdr:cNvPr id="4428" name="Picture 20">
          <a:extLst>
            <a:ext uri="{FF2B5EF4-FFF2-40B4-BE49-F238E27FC236}">
              <a16:creationId xmlns:a16="http://schemas.microsoft.com/office/drawing/2014/main" id="{00000000-0008-0000-0000-00004C110000}"/>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78180" y="43243500"/>
          <a:ext cx="4381500" cy="443484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1">
              <a:solidFill>
                <a:srgbClr val="000000"/>
              </a:solidFill>
              <a:miter lim="800000"/>
              <a:headEnd/>
              <a:tailEnd/>
            </a14:hiddenLine>
          </a:ext>
        </a:extLst>
      </xdr:spPr>
    </xdr:pic>
    <xdr:clientData/>
  </xdr:twoCellAnchor>
  <xdr:twoCellAnchor>
    <xdr:from>
      <xdr:col>2</xdr:col>
      <xdr:colOff>547688</xdr:colOff>
      <xdr:row>11</xdr:row>
      <xdr:rowOff>47625</xdr:rowOff>
    </xdr:from>
    <xdr:to>
      <xdr:col>6</xdr:col>
      <xdr:colOff>19148</xdr:colOff>
      <xdr:row>12</xdr:row>
      <xdr:rowOff>159967</xdr:rowOff>
    </xdr:to>
    <xdr:sp macro="" textlink="">
      <xdr:nvSpPr>
        <xdr:cNvPr id="10" name="TextBox 9">
          <a:hlinkClick xmlns:r="http://schemas.openxmlformats.org/officeDocument/2006/relationships" r:id="rId5"/>
          <a:extLst>
            <a:ext uri="{FF2B5EF4-FFF2-40B4-BE49-F238E27FC236}">
              <a16:creationId xmlns:a16="http://schemas.microsoft.com/office/drawing/2014/main" id="{00000000-0008-0000-0000-00000A000000}"/>
            </a:ext>
          </a:extLst>
        </xdr:cNvPr>
        <xdr:cNvSpPr txBox="1"/>
      </xdr:nvSpPr>
      <xdr:spPr>
        <a:xfrm>
          <a:off x="914400" y="1895475"/>
          <a:ext cx="1905000" cy="266700"/>
        </a:xfrm>
        <a:prstGeom prst="rect">
          <a:avLst/>
        </a:prstGeom>
        <a:solidFill>
          <a:schemeClr val="bg1">
            <a:lumMod val="75000"/>
          </a:schemeClr>
        </a:solidFill>
        <a:ln w="9525" cmpd="sng">
          <a:solidFill>
            <a:sysClr val="windowText" lastClr="000000"/>
          </a:solidFill>
        </a:ln>
        <a:effectLst>
          <a:outerShdw blurRad="50800" dist="38100" dir="2700000" algn="tl" rotWithShape="0">
            <a:prstClr val="black">
              <a:alpha val="40000"/>
            </a:prstClr>
          </a:outerShdw>
        </a:effectLst>
      </xdr:spPr>
      <xdr:style>
        <a:lnRef idx="0">
          <a:scrgbClr r="0" g="0" b="0"/>
        </a:lnRef>
        <a:fillRef idx="0">
          <a:scrgbClr r="0" g="0" b="0"/>
        </a:fillRef>
        <a:effectRef idx="0">
          <a:scrgbClr r="0" g="0" b="0"/>
        </a:effectRef>
        <a:fontRef idx="minor">
          <a:schemeClr val="dk1"/>
        </a:fontRef>
      </xdr:style>
      <xdr:txBody>
        <a:bodyPr wrap="square" rtlCol="0" anchor="t"/>
        <a:lstStyle/>
        <a:p>
          <a:pPr algn="ctr"/>
          <a:r>
            <a:rPr lang="en-US" sz="1200">
              <a:latin typeface="Arial" pitchFamily="34" charset="0"/>
              <a:cs typeface="Arial" pitchFamily="34" charset="0"/>
            </a:rPr>
            <a:t>Excel 2003</a:t>
          </a:r>
          <a:r>
            <a:rPr lang="en-US" sz="1200" baseline="0">
              <a:latin typeface="Arial" pitchFamily="34" charset="0"/>
              <a:cs typeface="Arial" pitchFamily="34" charset="0"/>
            </a:rPr>
            <a:t> and Previous</a:t>
          </a:r>
        </a:p>
      </xdr:txBody>
    </xdr:sp>
    <xdr:clientData/>
  </xdr:twoCellAnchor>
  <xdr:twoCellAnchor>
    <xdr:from>
      <xdr:col>6</xdr:col>
      <xdr:colOff>609599</xdr:colOff>
      <xdr:row>11</xdr:row>
      <xdr:rowOff>47625</xdr:rowOff>
    </xdr:from>
    <xdr:to>
      <xdr:col>10</xdr:col>
      <xdr:colOff>80986</xdr:colOff>
      <xdr:row>12</xdr:row>
      <xdr:rowOff>159967</xdr:rowOff>
    </xdr:to>
    <xdr:sp macro="" textlink="">
      <xdr:nvSpPr>
        <xdr:cNvPr id="11" name="TextBox 10">
          <a:hlinkClick xmlns:r="http://schemas.openxmlformats.org/officeDocument/2006/relationships" r:id="rId6"/>
          <a:extLst>
            <a:ext uri="{FF2B5EF4-FFF2-40B4-BE49-F238E27FC236}">
              <a16:creationId xmlns:a16="http://schemas.microsoft.com/office/drawing/2014/main" id="{00000000-0008-0000-0000-00000B000000}"/>
            </a:ext>
          </a:extLst>
        </xdr:cNvPr>
        <xdr:cNvSpPr txBox="1"/>
      </xdr:nvSpPr>
      <xdr:spPr>
        <a:xfrm>
          <a:off x="3409949" y="1895475"/>
          <a:ext cx="1914526" cy="266700"/>
        </a:xfrm>
        <a:prstGeom prst="rect">
          <a:avLst/>
        </a:prstGeom>
        <a:solidFill>
          <a:schemeClr val="bg1">
            <a:lumMod val="75000"/>
          </a:schemeClr>
        </a:solidFill>
        <a:ln w="9525" cmpd="sng">
          <a:solidFill>
            <a:sysClr val="windowText" lastClr="000000"/>
          </a:solidFill>
        </a:ln>
        <a:effectLst>
          <a:outerShdw blurRad="50800" dist="38100" dir="2700000" algn="tl" rotWithShape="0">
            <a:prstClr val="black">
              <a:alpha val="40000"/>
            </a:prstClr>
          </a:outerShdw>
        </a:effectLst>
      </xdr:spPr>
      <xdr:style>
        <a:lnRef idx="0">
          <a:scrgbClr r="0" g="0" b="0"/>
        </a:lnRef>
        <a:fillRef idx="0">
          <a:scrgbClr r="0" g="0" b="0"/>
        </a:fillRef>
        <a:effectRef idx="0">
          <a:scrgbClr r="0" g="0" b="0"/>
        </a:effectRef>
        <a:fontRef idx="minor">
          <a:schemeClr val="dk1"/>
        </a:fontRef>
      </xdr:style>
      <xdr:txBody>
        <a:bodyPr wrap="square" rtlCol="0" anchor="t"/>
        <a:lstStyle/>
        <a:p>
          <a:pPr algn="ctr"/>
          <a:r>
            <a:rPr lang="en-US" sz="1200">
              <a:latin typeface="Arial" pitchFamily="34" charset="0"/>
              <a:cs typeface="Arial" pitchFamily="34" charset="0"/>
            </a:rPr>
            <a:t>Excel 2007</a:t>
          </a:r>
          <a:endParaRPr lang="en-US" sz="1200" baseline="0">
            <a:latin typeface="Arial" pitchFamily="34" charset="0"/>
            <a:cs typeface="Arial" pitchFamily="34" charset="0"/>
          </a:endParaRPr>
        </a:p>
      </xdr:txBody>
    </xdr:sp>
    <xdr:clientData/>
  </xdr:twoCellAnchor>
  <xdr:twoCellAnchor>
    <xdr:from>
      <xdr:col>10</xdr:col>
      <xdr:colOff>80964</xdr:colOff>
      <xdr:row>16</xdr:row>
      <xdr:rowOff>142875</xdr:rowOff>
    </xdr:from>
    <xdr:to>
      <xdr:col>11</xdr:col>
      <xdr:colOff>500064</xdr:colOff>
      <xdr:row>16</xdr:row>
      <xdr:rowOff>409575</xdr:rowOff>
    </xdr:to>
    <xdr:sp macro="" textlink="">
      <xdr:nvSpPr>
        <xdr:cNvPr id="12" name="TextBox 11">
          <a:hlinkClick xmlns:r="http://schemas.openxmlformats.org/officeDocument/2006/relationships" r:id="rId7"/>
          <a:extLst>
            <a:ext uri="{FF2B5EF4-FFF2-40B4-BE49-F238E27FC236}">
              <a16:creationId xmlns:a16="http://schemas.microsoft.com/office/drawing/2014/main" id="{00000000-0008-0000-0000-00000C000000}"/>
            </a:ext>
          </a:extLst>
        </xdr:cNvPr>
        <xdr:cNvSpPr txBox="1"/>
      </xdr:nvSpPr>
      <xdr:spPr>
        <a:xfrm>
          <a:off x="5324476" y="17916525"/>
          <a:ext cx="1028700" cy="266700"/>
        </a:xfrm>
        <a:prstGeom prst="rect">
          <a:avLst/>
        </a:prstGeom>
        <a:solidFill>
          <a:schemeClr val="bg1">
            <a:lumMod val="75000"/>
          </a:schemeClr>
        </a:solidFill>
        <a:ln w="9525" cmpd="sng">
          <a:solidFill>
            <a:sysClr val="windowText" lastClr="000000"/>
          </a:solidFill>
        </a:ln>
        <a:effectLst>
          <a:outerShdw blurRad="50800" dist="38100" dir="2700000" algn="tl" rotWithShape="0">
            <a:prstClr val="black">
              <a:alpha val="40000"/>
            </a:prstClr>
          </a:outerShdw>
        </a:effectLst>
      </xdr:spPr>
      <xdr:style>
        <a:lnRef idx="0">
          <a:scrgbClr r="0" g="0" b="0"/>
        </a:lnRef>
        <a:fillRef idx="0">
          <a:scrgbClr r="0" g="0" b="0"/>
        </a:fillRef>
        <a:effectRef idx="0">
          <a:scrgbClr r="0" g="0" b="0"/>
        </a:effectRef>
        <a:fontRef idx="minor">
          <a:schemeClr val="dk1"/>
        </a:fontRef>
      </xdr:style>
      <xdr:txBody>
        <a:bodyPr wrap="square" rtlCol="0" anchor="t"/>
        <a:lstStyle/>
        <a:p>
          <a:pPr algn="ctr"/>
          <a:r>
            <a:rPr lang="en-US" sz="1200">
              <a:latin typeface="Arial" pitchFamily="34" charset="0"/>
              <a:cs typeface="Arial" pitchFamily="34" charset="0"/>
            </a:rPr>
            <a:t>Return</a:t>
          </a:r>
          <a:endParaRPr lang="en-US" sz="1200" baseline="0">
            <a:latin typeface="Arial" pitchFamily="34" charset="0"/>
            <a:cs typeface="Arial" pitchFamily="34" charset="0"/>
          </a:endParaRPr>
        </a:p>
      </xdr:txBody>
    </xdr:sp>
    <xdr:clientData/>
  </xdr:twoCellAnchor>
  <xdr:twoCellAnchor>
    <xdr:from>
      <xdr:col>10</xdr:col>
      <xdr:colOff>90488</xdr:colOff>
      <xdr:row>59</xdr:row>
      <xdr:rowOff>114300</xdr:rowOff>
    </xdr:from>
    <xdr:to>
      <xdr:col>11</xdr:col>
      <xdr:colOff>509588</xdr:colOff>
      <xdr:row>59</xdr:row>
      <xdr:rowOff>381000</xdr:rowOff>
    </xdr:to>
    <xdr:sp macro="" textlink="">
      <xdr:nvSpPr>
        <xdr:cNvPr id="13" name="TextBox 12">
          <a:hlinkClick xmlns:r="http://schemas.openxmlformats.org/officeDocument/2006/relationships" r:id="rId7"/>
          <a:extLst>
            <a:ext uri="{FF2B5EF4-FFF2-40B4-BE49-F238E27FC236}">
              <a16:creationId xmlns:a16="http://schemas.microsoft.com/office/drawing/2014/main" id="{00000000-0008-0000-0000-00000D000000}"/>
            </a:ext>
          </a:extLst>
        </xdr:cNvPr>
        <xdr:cNvSpPr txBox="1"/>
      </xdr:nvSpPr>
      <xdr:spPr>
        <a:xfrm>
          <a:off x="5334000" y="40319325"/>
          <a:ext cx="1028700" cy="266700"/>
        </a:xfrm>
        <a:prstGeom prst="rect">
          <a:avLst/>
        </a:prstGeom>
        <a:solidFill>
          <a:schemeClr val="bg1">
            <a:lumMod val="75000"/>
          </a:schemeClr>
        </a:solidFill>
        <a:ln w="9525" cmpd="sng">
          <a:solidFill>
            <a:sysClr val="windowText" lastClr="000000"/>
          </a:solidFill>
        </a:ln>
        <a:effectLst>
          <a:outerShdw blurRad="50800" dist="38100" dir="2700000" algn="tl" rotWithShape="0">
            <a:prstClr val="black">
              <a:alpha val="40000"/>
            </a:prstClr>
          </a:outerShdw>
        </a:effectLst>
      </xdr:spPr>
      <xdr:style>
        <a:lnRef idx="0">
          <a:scrgbClr r="0" g="0" b="0"/>
        </a:lnRef>
        <a:fillRef idx="0">
          <a:scrgbClr r="0" g="0" b="0"/>
        </a:fillRef>
        <a:effectRef idx="0">
          <a:scrgbClr r="0" g="0" b="0"/>
        </a:effectRef>
        <a:fontRef idx="minor">
          <a:schemeClr val="dk1"/>
        </a:fontRef>
      </xdr:style>
      <xdr:txBody>
        <a:bodyPr wrap="square" rtlCol="0" anchor="t"/>
        <a:lstStyle/>
        <a:p>
          <a:pPr algn="ctr"/>
          <a:r>
            <a:rPr lang="en-US" sz="1200">
              <a:latin typeface="Arial" pitchFamily="34" charset="0"/>
              <a:cs typeface="Arial" pitchFamily="34" charset="0"/>
            </a:rPr>
            <a:t>Return</a:t>
          </a:r>
          <a:endParaRPr lang="en-US" sz="1200" baseline="0">
            <a:latin typeface="Arial" pitchFamily="34" charset="0"/>
            <a:cs typeface="Arial" pitchFamily="34" charset="0"/>
          </a:endParaRPr>
        </a:p>
      </xdr:txBody>
    </xdr:sp>
    <xdr:clientData/>
  </xdr:twoCellAnchor>
</xdr:wsDr>
</file>

<file path=xl/drawings/drawing2.xml><?xml version="1.0" encoding="utf-8"?>
<xdr:wsDr xmlns:xdr="http://schemas.openxmlformats.org/drawingml/2006/spreadsheetDrawing" xmlns:a="http://schemas.openxmlformats.org/drawingml/2006/main">
  <xdr:twoCellAnchor editAs="oneCell">
    <xdr:from>
      <xdr:col>3</xdr:col>
      <xdr:colOff>307658</xdr:colOff>
      <xdr:row>25</xdr:row>
      <xdr:rowOff>0</xdr:rowOff>
    </xdr:from>
    <xdr:to>
      <xdr:col>12</xdr:col>
      <xdr:colOff>42895</xdr:colOff>
      <xdr:row>33</xdr:row>
      <xdr:rowOff>119100</xdr:rowOff>
    </xdr:to>
    <xdr:sp macro="" textlink="">
      <xdr:nvSpPr>
        <xdr:cNvPr id="5121" name="Text Box 1">
          <a:extLst>
            <a:ext uri="{FF2B5EF4-FFF2-40B4-BE49-F238E27FC236}">
              <a16:creationId xmlns:a16="http://schemas.microsoft.com/office/drawing/2014/main" id="{00000000-0008-0000-0100-000001140000}"/>
            </a:ext>
          </a:extLst>
        </xdr:cNvPr>
        <xdr:cNvSpPr txBox="1">
          <a:spLocks noChangeArrowheads="1"/>
        </xdr:cNvSpPr>
      </xdr:nvSpPr>
      <xdr:spPr bwMode="auto">
        <a:xfrm>
          <a:off x="523875" y="3609975"/>
          <a:ext cx="6724650" cy="1304925"/>
        </a:xfrm>
        <a:prstGeom prst="rect">
          <a:avLst/>
        </a:prstGeom>
        <a:solidFill>
          <a:srgbClr val="FFFF99"/>
        </a:solidFill>
        <a:ln w="9525">
          <a:solidFill>
            <a:srgbClr val="000000"/>
          </a:solidFill>
          <a:miter lim="800000"/>
          <a:headEnd/>
          <a:tailEnd/>
        </a:ln>
        <a:effectLst>
          <a:outerShdw dist="107763" dir="2700000" algn="ctr" rotWithShape="0">
            <a:srgbClr val="000080"/>
          </a:outerShdw>
        </a:effectLst>
      </xdr:spPr>
      <xdr:txBody>
        <a:bodyPr vertOverflow="clip" wrap="square" lIns="27432" tIns="22860" rIns="0" bIns="0" anchor="t" upright="1"/>
        <a:lstStyle/>
        <a:p>
          <a:pPr algn="l" rtl="0">
            <a:defRPr sz="1000"/>
          </a:pPr>
          <a:r>
            <a:rPr lang="en-US" sz="800" b="1" i="0" strike="noStrike">
              <a:solidFill>
                <a:srgbClr val="000000"/>
              </a:solidFill>
              <a:latin typeface="Arial"/>
              <a:cs typeface="Arial"/>
            </a:rPr>
            <a:t>Conditions of Use</a:t>
          </a:r>
          <a:endParaRPr lang="en-US" sz="800" b="0" i="0" strike="noStrike">
            <a:solidFill>
              <a:srgbClr val="000000"/>
            </a:solidFill>
            <a:latin typeface="Arial"/>
            <a:cs typeface="Arial"/>
          </a:endParaRPr>
        </a:p>
        <a:p>
          <a:pPr algn="l" rtl="0">
            <a:defRPr sz="1000"/>
          </a:pPr>
          <a:r>
            <a:rPr lang="en-US" sz="800" b="0" i="0" strike="noStrike">
              <a:solidFill>
                <a:srgbClr val="000000"/>
              </a:solidFill>
              <a:latin typeface="Arial"/>
              <a:cs typeface="Arial"/>
            </a:rPr>
            <a:t>This software is provided 'as is' and without warranties as to performance or merchantability. Statements may have been made to you about this software. Any such statements do not constitute warranties and shall not be relied on by the CUSTOMER in deciding whether to use the program.  This program is provided without any expressed or implied warranties whatsoever. Because of the diversity of conditions and hardware under which this program may be used, no WARRANTY OF MERCHANTABILITY or WARRANTY OF FITNESS for a particular purpose is offered.  The user is advised to test the program thoroughly before relying on it.  The user assumes the entire risk of using the program.  The UNIVERSITY OF ILLINOIS will not be liable for any claim or damage brought against the CUSTOMER by any third party, nor will the UNIVERSITY OF ILLINOIS be liable for any consequential, indirect, or special damages suffered by the customer as a result of the use of the software.</a:t>
          </a:r>
        </a:p>
      </xdr:txBody>
    </xdr:sp>
    <xdr:clientData/>
  </xdr:twoCellAnchor>
  <xdr:twoCellAnchor>
    <xdr:from>
      <xdr:col>3</xdr:col>
      <xdr:colOff>7620</xdr:colOff>
      <xdr:row>3</xdr:row>
      <xdr:rowOff>15240</xdr:rowOff>
    </xdr:from>
    <xdr:to>
      <xdr:col>4</xdr:col>
      <xdr:colOff>1409700</xdr:colOff>
      <xdr:row>5</xdr:row>
      <xdr:rowOff>91440</xdr:rowOff>
    </xdr:to>
    <xdr:pic macro="[0]!about">
      <xdr:nvPicPr>
        <xdr:cNvPr id="5384" name="Picture 2" descr="fastbluegreensmallfast">
          <a:extLst>
            <a:ext uri="{FF2B5EF4-FFF2-40B4-BE49-F238E27FC236}">
              <a16:creationId xmlns:a16="http://schemas.microsoft.com/office/drawing/2014/main" id="{00000000-0008-0000-0100-0000081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36220" y="304800"/>
          <a:ext cx="1790700" cy="74676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4</xdr:col>
      <xdr:colOff>174308</xdr:colOff>
      <xdr:row>7</xdr:row>
      <xdr:rowOff>74295</xdr:rowOff>
    </xdr:from>
    <xdr:to>
      <xdr:col>11</xdr:col>
      <xdr:colOff>1087747</xdr:colOff>
      <xdr:row>11</xdr:row>
      <xdr:rowOff>40142</xdr:rowOff>
    </xdr:to>
    <xdr:sp macro="" textlink="">
      <xdr:nvSpPr>
        <xdr:cNvPr id="5126" name="InfoBox">
          <a:extLst>
            <a:ext uri="{FF2B5EF4-FFF2-40B4-BE49-F238E27FC236}">
              <a16:creationId xmlns:a16="http://schemas.microsoft.com/office/drawing/2014/main" id="{00000000-0008-0000-0100-000006140000}"/>
            </a:ext>
          </a:extLst>
        </xdr:cNvPr>
        <xdr:cNvSpPr txBox="1">
          <a:spLocks noChangeArrowheads="1"/>
        </xdr:cNvSpPr>
      </xdr:nvSpPr>
      <xdr:spPr bwMode="auto">
        <a:xfrm>
          <a:off x="771525" y="1276350"/>
          <a:ext cx="6381750" cy="561975"/>
        </a:xfrm>
        <a:prstGeom prst="rect">
          <a:avLst/>
        </a:prstGeom>
        <a:solidFill>
          <a:srgbClr val="FFFFFF"/>
        </a:solidFill>
        <a:ln w="9525">
          <a:solidFill>
            <a:srgbClr val="000000"/>
          </a:solidFill>
          <a:miter lim="800000"/>
          <a:headEnd/>
          <a:tailEnd/>
        </a:ln>
        <a:effectLst>
          <a:outerShdw dist="107763" dir="2700000" algn="ctr" rotWithShape="0">
            <a:srgbClr val="000080"/>
          </a:outerShdw>
        </a:effectLst>
      </xdr:spPr>
      <xdr:txBody>
        <a:bodyPr vertOverflow="clip" wrap="square" lIns="137160" tIns="91440" rIns="91440" bIns="91440" anchor="t" upright="1"/>
        <a:lstStyle/>
        <a:p>
          <a:pPr algn="l" rtl="0">
            <a:lnSpc>
              <a:spcPts val="1100"/>
            </a:lnSpc>
            <a:defRPr sz="1000"/>
          </a:pPr>
          <a:r>
            <a:rPr lang="en-US" sz="1000" b="0" i="0" strike="noStrike">
              <a:solidFill>
                <a:srgbClr val="003300"/>
              </a:solidFill>
              <a:latin typeface="Arial"/>
              <a:cs typeface="Arial"/>
            </a:rPr>
            <a:t>With this program, the user can estimate the chance of completing fieldwork within a certain time period.  It also provides estimates of the costs of tillage, planting, and combining operations</a:t>
          </a:r>
        </a:p>
      </xdr:txBody>
    </xdr:sp>
    <xdr:clientData/>
  </xdr:twoCellAnchor>
  <xdr:twoCellAnchor>
    <xdr:from>
      <xdr:col>6</xdr:col>
      <xdr:colOff>9525</xdr:colOff>
      <xdr:row>18</xdr:row>
      <xdr:rowOff>38100</xdr:rowOff>
    </xdr:from>
    <xdr:to>
      <xdr:col>9</xdr:col>
      <xdr:colOff>689677</xdr:colOff>
      <xdr:row>20</xdr:row>
      <xdr:rowOff>438150</xdr:rowOff>
    </xdr:to>
    <xdr:sp macro="" textlink="">
      <xdr:nvSpPr>
        <xdr:cNvPr id="5127" name="SecurityBox" hidden="1">
          <a:hlinkClick xmlns:r="http://schemas.openxmlformats.org/officeDocument/2006/relationships" r:id="rId2"/>
          <a:extLst>
            <a:ext uri="{FF2B5EF4-FFF2-40B4-BE49-F238E27FC236}">
              <a16:creationId xmlns:a16="http://schemas.microsoft.com/office/drawing/2014/main" id="{00000000-0008-0000-0100-000007140000}"/>
            </a:ext>
          </a:extLst>
        </xdr:cNvPr>
        <xdr:cNvSpPr txBox="1">
          <a:spLocks noChangeArrowheads="1"/>
        </xdr:cNvSpPr>
      </xdr:nvSpPr>
      <xdr:spPr bwMode="auto">
        <a:xfrm>
          <a:off x="2676525" y="2743200"/>
          <a:ext cx="2714625" cy="666750"/>
        </a:xfrm>
        <a:prstGeom prst="rect">
          <a:avLst/>
        </a:prstGeom>
        <a:noFill/>
        <a:ln w="9525">
          <a:noFill/>
          <a:miter lim="800000"/>
          <a:headEnd/>
          <a:tailEnd/>
        </a:ln>
      </xdr:spPr>
      <xdr:txBody>
        <a:bodyPr vertOverflow="clip" wrap="square" lIns="27432" tIns="22860" rIns="27432" bIns="22860" anchor="ctr" upright="1"/>
        <a:lstStyle/>
        <a:p>
          <a:pPr algn="ctr" rtl="0">
            <a:defRPr sz="1000"/>
          </a:pPr>
          <a:r>
            <a:rPr lang="en-US" sz="1000" b="1" i="0" strike="noStrike">
              <a:solidFill>
                <a:srgbClr val="FFFFFF"/>
              </a:solidFill>
              <a:latin typeface="Arial"/>
              <a:cs typeface="Arial"/>
            </a:rPr>
            <a:t>Macros are disabled or security settings</a:t>
          </a:r>
        </a:p>
        <a:p>
          <a:pPr algn="ctr" rtl="0">
            <a:defRPr sz="1000"/>
          </a:pPr>
          <a:r>
            <a:rPr lang="en-US" sz="1000" b="1" i="0" strike="noStrike">
              <a:solidFill>
                <a:srgbClr val="FFFFFF"/>
              </a:solidFill>
              <a:latin typeface="Arial"/>
              <a:cs typeface="Arial"/>
            </a:rPr>
            <a:t>are not set correctly. </a:t>
          </a:r>
        </a:p>
        <a:p>
          <a:pPr algn="ctr" rtl="0">
            <a:defRPr sz="1000"/>
          </a:pPr>
          <a:r>
            <a:rPr lang="en-US" sz="1000" b="1" i="0" strike="noStrike">
              <a:solidFill>
                <a:srgbClr val="FFFFFF"/>
              </a:solidFill>
              <a:latin typeface="Arial"/>
              <a:cs typeface="Arial"/>
            </a:rPr>
            <a:t>Click here for more information.</a:t>
          </a:r>
        </a:p>
      </xdr:txBody>
    </xdr:sp>
    <xdr:clientData/>
  </xdr:twoCellAnchor>
  <xdr:twoCellAnchor>
    <xdr:from>
      <xdr:col>11</xdr:col>
      <xdr:colOff>480060</xdr:colOff>
      <xdr:row>18</xdr:row>
      <xdr:rowOff>68580</xdr:rowOff>
    </xdr:from>
    <xdr:to>
      <xdr:col>13</xdr:col>
      <xdr:colOff>0</xdr:colOff>
      <xdr:row>21</xdr:row>
      <xdr:rowOff>0</xdr:rowOff>
    </xdr:to>
    <xdr:pic>
      <xdr:nvPicPr>
        <xdr:cNvPr id="5387" name="Picture 10" descr="RMA with writing">
          <a:hlinkClick xmlns:r="http://schemas.openxmlformats.org/officeDocument/2006/relationships" r:id="rId3"/>
          <a:extLst>
            <a:ext uri="{FF2B5EF4-FFF2-40B4-BE49-F238E27FC236}">
              <a16:creationId xmlns:a16="http://schemas.microsoft.com/office/drawing/2014/main" id="{00000000-0008-0000-0100-00000B150000}"/>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766560" y="2766060"/>
          <a:ext cx="982980" cy="6858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xdr:from>
          <xdr:col>11</xdr:col>
          <xdr:colOff>45720</xdr:colOff>
          <xdr:row>3</xdr:row>
          <xdr:rowOff>30480</xdr:rowOff>
        </xdr:from>
        <xdr:to>
          <xdr:col>12</xdr:col>
          <xdr:colOff>190500</xdr:colOff>
          <xdr:row>3</xdr:row>
          <xdr:rowOff>373380</xdr:rowOff>
        </xdr:to>
        <xdr:sp macro="" textlink="">
          <xdr:nvSpPr>
            <xdr:cNvPr id="5123" name="CommandButton1" hidden="1">
              <a:extLst>
                <a:ext uri="{63B3BB69-23CF-44E3-9099-C40C66FF867C}">
                  <a14:compatExt spid="_x0000_s5123"/>
                </a:ext>
                <a:ext uri="{FF2B5EF4-FFF2-40B4-BE49-F238E27FC236}">
                  <a16:creationId xmlns:a16="http://schemas.microsoft.com/office/drawing/2014/main" id="{00000000-0008-0000-0100-00000314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xdr:twoCellAnchor>
    <xdr:from>
      <xdr:col>10</xdr:col>
      <xdr:colOff>0</xdr:colOff>
      <xdr:row>18</xdr:row>
      <xdr:rowOff>68580</xdr:rowOff>
    </xdr:from>
    <xdr:to>
      <xdr:col>11</xdr:col>
      <xdr:colOff>373380</xdr:colOff>
      <xdr:row>21</xdr:row>
      <xdr:rowOff>0</xdr:rowOff>
    </xdr:to>
    <xdr:pic>
      <xdr:nvPicPr>
        <xdr:cNvPr id="5388" name="Picture 2">
          <a:hlinkClick xmlns:r="http://schemas.openxmlformats.org/officeDocument/2006/relationships" r:id="rId5"/>
          <a:extLst>
            <a:ext uri="{FF2B5EF4-FFF2-40B4-BE49-F238E27FC236}">
              <a16:creationId xmlns:a16="http://schemas.microsoft.com/office/drawing/2014/main" id="{00000000-0008-0000-0100-00000C150000}"/>
            </a:ext>
          </a:extLst>
        </xdr:cNvPr>
        <xdr:cNvPicPr>
          <a:picLocks noChangeAspect="1" noChangeArrowheads="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5577840" y="2766060"/>
          <a:ext cx="1082040" cy="6858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4</xdr:col>
      <xdr:colOff>0</xdr:colOff>
      <xdr:row>18</xdr:row>
      <xdr:rowOff>68580</xdr:rowOff>
    </xdr:from>
    <xdr:to>
      <xdr:col>5</xdr:col>
      <xdr:colOff>259080</xdr:colOff>
      <xdr:row>21</xdr:row>
      <xdr:rowOff>0</xdr:rowOff>
    </xdr:to>
    <xdr:pic>
      <xdr:nvPicPr>
        <xdr:cNvPr id="5389" name="Picture 4">
          <a:hlinkClick xmlns:r="http://schemas.openxmlformats.org/officeDocument/2006/relationships" r:id="rId7"/>
          <a:extLst>
            <a:ext uri="{FF2B5EF4-FFF2-40B4-BE49-F238E27FC236}">
              <a16:creationId xmlns:a16="http://schemas.microsoft.com/office/drawing/2014/main" id="{00000000-0008-0000-0100-00000D150000}"/>
            </a:ext>
          </a:extLst>
        </xdr:cNvPr>
        <xdr:cNvPicPr>
          <a:picLocks noChangeAspect="1" noChangeArrowheads="1"/>
        </xdr:cNvPicPr>
      </xdr:nvPicPr>
      <xdr:blipFill>
        <a:blip xmlns:r="http://schemas.openxmlformats.org/officeDocument/2006/relationships" r:embed="rId8">
          <a:extLst>
            <a:ext uri="{28A0092B-C50C-407E-A947-70E740481C1C}">
              <a14:useLocalDpi xmlns:a14="http://schemas.microsoft.com/office/drawing/2010/main" val="0"/>
            </a:ext>
          </a:extLst>
        </a:blip>
        <a:srcRect/>
        <a:stretch>
          <a:fillRect/>
        </a:stretch>
      </xdr:blipFill>
      <xdr:spPr bwMode="auto">
        <a:xfrm>
          <a:off x="617220" y="2766060"/>
          <a:ext cx="1676400" cy="6858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3.xml><?xml version="1.0" encoding="utf-8"?>
<xdr:wsDr xmlns:xdr="http://schemas.openxmlformats.org/drawingml/2006/spreadsheetDrawing" xmlns:a="http://schemas.openxmlformats.org/drawingml/2006/main">
  <xdr:twoCellAnchor>
    <xdr:from>
      <xdr:col>15</xdr:col>
      <xdr:colOff>76200</xdr:colOff>
      <xdr:row>1</xdr:row>
      <xdr:rowOff>45720</xdr:rowOff>
    </xdr:from>
    <xdr:to>
      <xdr:col>18</xdr:col>
      <xdr:colOff>594360</xdr:colOff>
      <xdr:row>4</xdr:row>
      <xdr:rowOff>121920</xdr:rowOff>
    </xdr:to>
    <xdr:pic macro="[0]!about">
      <xdr:nvPicPr>
        <xdr:cNvPr id="1084" name="Picture 12" descr="fastbluegreensmallfast">
          <a:extLst>
            <a:ext uri="{FF2B5EF4-FFF2-40B4-BE49-F238E27FC236}">
              <a16:creationId xmlns:a16="http://schemas.microsoft.com/office/drawing/2014/main" id="{00000000-0008-0000-0200-00003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13360" y="213360"/>
          <a:ext cx="1363980" cy="609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xdr:from>
          <xdr:col>19</xdr:col>
          <xdr:colOff>0</xdr:colOff>
          <xdr:row>4</xdr:row>
          <xdr:rowOff>0</xdr:rowOff>
        </xdr:from>
        <xdr:to>
          <xdr:col>21</xdr:col>
          <xdr:colOff>0</xdr:colOff>
          <xdr:row>6</xdr:row>
          <xdr:rowOff>0</xdr:rowOff>
        </xdr:to>
        <xdr:sp macro="" textlink="">
          <xdr:nvSpPr>
            <xdr:cNvPr id="1046" name="Button 22" hidden="1">
              <a:extLst>
                <a:ext uri="{63B3BB69-23CF-44E3-9099-C40C66FF867C}">
                  <a14:compatExt spid="_x0000_s1046"/>
                </a:ext>
                <a:ext uri="{FF2B5EF4-FFF2-40B4-BE49-F238E27FC236}">
                  <a16:creationId xmlns:a16="http://schemas.microsoft.com/office/drawing/2014/main" id="{00000000-0008-0000-0200-000016040000}"/>
                </a:ext>
              </a:extLst>
            </xdr:cNvPr>
            <xdr:cNvSpPr/>
          </xdr:nvSpPr>
          <xdr:spPr bwMode="auto">
            <a:xfrm>
              <a:off x="0" y="0"/>
              <a:ext cx="0" cy="0"/>
            </a:xfrm>
            <a:prstGeom prst="rect">
              <a:avLst/>
            </a:prstGeom>
            <a:noFill/>
            <a:ln w="9525">
              <a:miter lim="800000"/>
              <a:headEnd/>
              <a:tailEnd/>
            </a:ln>
          </xdr:spPr>
          <xdr:txBody>
            <a:bodyPr vertOverflow="clip" wrap="square" lIns="36576" tIns="27432" rIns="36576" bIns="27432" anchor="ctr" upright="1"/>
            <a:lstStyle/>
            <a:p>
              <a:pPr algn="ctr" rtl="0">
                <a:defRPr sz="1000"/>
              </a:pPr>
              <a:r>
                <a:rPr lang="en-US" sz="1000" b="0" i="0" u="none" strike="noStrike" baseline="0">
                  <a:solidFill>
                    <a:srgbClr val="000000"/>
                  </a:solidFill>
                  <a:latin typeface="Arial"/>
                  <a:cs typeface="Arial"/>
                </a:rPr>
                <a:t>Main Menu</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16</xdr:col>
          <xdr:colOff>0</xdr:colOff>
          <xdr:row>14</xdr:row>
          <xdr:rowOff>0</xdr:rowOff>
        </xdr:from>
        <xdr:to>
          <xdr:col>20</xdr:col>
          <xdr:colOff>0</xdr:colOff>
          <xdr:row>16</xdr:row>
          <xdr:rowOff>0</xdr:rowOff>
        </xdr:to>
        <xdr:sp macro="" textlink="">
          <xdr:nvSpPr>
            <xdr:cNvPr id="1047" name="Button 23" hidden="1">
              <a:extLst>
                <a:ext uri="{63B3BB69-23CF-44E3-9099-C40C66FF867C}">
                  <a14:compatExt spid="_x0000_s1047"/>
                </a:ext>
                <a:ext uri="{FF2B5EF4-FFF2-40B4-BE49-F238E27FC236}">
                  <a16:creationId xmlns:a16="http://schemas.microsoft.com/office/drawing/2014/main" id="{00000000-0008-0000-0200-000017040000}"/>
                </a:ext>
              </a:extLst>
            </xdr:cNvPr>
            <xdr:cNvSpPr/>
          </xdr:nvSpPr>
          <xdr:spPr bwMode="auto">
            <a:xfrm>
              <a:off x="0" y="0"/>
              <a:ext cx="0" cy="0"/>
            </a:xfrm>
            <a:prstGeom prst="rect">
              <a:avLst/>
            </a:prstGeom>
            <a:noFill/>
            <a:ln w="9525">
              <a:miter lim="800000"/>
              <a:headEnd/>
              <a:tailEnd/>
            </a:ln>
          </xdr:spPr>
          <xdr:txBody>
            <a:bodyPr vertOverflow="clip" wrap="square" lIns="36576" tIns="27432" rIns="36576" bIns="27432" anchor="ctr" upright="1"/>
            <a:lstStyle/>
            <a:p>
              <a:pPr algn="ctr" rtl="0">
                <a:defRPr sz="1000"/>
              </a:pPr>
              <a:r>
                <a:rPr lang="en-US" sz="1000" b="0" i="0" u="none" strike="noStrike" baseline="0">
                  <a:solidFill>
                    <a:srgbClr val="000000"/>
                  </a:solidFill>
                  <a:latin typeface="Arial"/>
                  <a:cs typeface="Arial"/>
                </a:rPr>
                <a:t>Unhide workday probabilities</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2</xdr:col>
          <xdr:colOff>0</xdr:colOff>
          <xdr:row>0</xdr:row>
          <xdr:rowOff>0</xdr:rowOff>
        </xdr:from>
        <xdr:to>
          <xdr:col>5</xdr:col>
          <xdr:colOff>137160</xdr:colOff>
          <xdr:row>2</xdr:row>
          <xdr:rowOff>0</xdr:rowOff>
        </xdr:to>
        <xdr:sp macro="" textlink="">
          <xdr:nvSpPr>
            <xdr:cNvPr id="1049" name="Button 25" hidden="1">
              <a:extLst>
                <a:ext uri="{63B3BB69-23CF-44E3-9099-C40C66FF867C}">
                  <a14:compatExt spid="_x0000_s1049"/>
                </a:ext>
                <a:ext uri="{FF2B5EF4-FFF2-40B4-BE49-F238E27FC236}">
                  <a16:creationId xmlns:a16="http://schemas.microsoft.com/office/drawing/2014/main" id="{00000000-0008-0000-0200-000019040000}"/>
                </a:ext>
              </a:extLst>
            </xdr:cNvPr>
            <xdr:cNvSpPr/>
          </xdr:nvSpPr>
          <xdr:spPr bwMode="auto">
            <a:xfrm>
              <a:off x="0" y="0"/>
              <a:ext cx="0" cy="0"/>
            </a:xfrm>
            <a:prstGeom prst="rect">
              <a:avLst/>
            </a:prstGeom>
            <a:noFill/>
            <a:ln w="9525">
              <a:miter lim="800000"/>
              <a:headEnd/>
              <a:tailEnd/>
            </a:ln>
          </xdr:spPr>
          <xdr:txBody>
            <a:bodyPr vertOverflow="clip" wrap="square" lIns="36576" tIns="27432" rIns="36576" bIns="27432" anchor="ctr" upright="1"/>
            <a:lstStyle/>
            <a:p>
              <a:pPr algn="ctr" rtl="0">
                <a:defRPr sz="1000"/>
              </a:pPr>
              <a:r>
                <a:rPr lang="en-US" sz="1000" b="0" i="0" u="none" strike="noStrike" baseline="0">
                  <a:solidFill>
                    <a:srgbClr val="000000"/>
                  </a:solidFill>
                  <a:latin typeface="Arial"/>
                  <a:cs typeface="Arial"/>
                </a:rPr>
                <a:t>Hide workday probabilities</a:t>
              </a:r>
            </a:p>
          </xdr:txBody>
        </xdr:sp>
        <xdr:clientData fPrintsWithSheet="0"/>
      </xdr:twoCellAnchor>
    </mc:Choice>
    <mc:Fallback/>
  </mc:AlternateContent>
</xdr:wsDr>
</file>

<file path=xl/drawings/drawing4.xml><?xml version="1.0" encoding="utf-8"?>
<xdr:wsDr xmlns:xdr="http://schemas.openxmlformats.org/drawingml/2006/spreadsheetDrawing" xmlns:a="http://schemas.openxmlformats.org/drawingml/2006/main">
  <xdr:twoCellAnchor>
    <xdr:from>
      <xdr:col>2</xdr:col>
      <xdr:colOff>38100</xdr:colOff>
      <xdr:row>0</xdr:row>
      <xdr:rowOff>38100</xdr:rowOff>
    </xdr:from>
    <xdr:to>
      <xdr:col>3</xdr:col>
      <xdr:colOff>251460</xdr:colOff>
      <xdr:row>3</xdr:row>
      <xdr:rowOff>129540</xdr:rowOff>
    </xdr:to>
    <xdr:pic macro="[0]!about">
      <xdr:nvPicPr>
        <xdr:cNvPr id="6234" name="Picture 19" descr="fastbluegreensmallfast">
          <a:extLst>
            <a:ext uri="{FF2B5EF4-FFF2-40B4-BE49-F238E27FC236}">
              <a16:creationId xmlns:a16="http://schemas.microsoft.com/office/drawing/2014/main" id="{00000000-0008-0000-0300-00005A1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20980" y="38100"/>
          <a:ext cx="1379220" cy="59436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xdr:from>
          <xdr:col>7</xdr:col>
          <xdr:colOff>0</xdr:colOff>
          <xdr:row>2</xdr:row>
          <xdr:rowOff>0</xdr:rowOff>
        </xdr:from>
        <xdr:to>
          <xdr:col>7</xdr:col>
          <xdr:colOff>1295400</xdr:colOff>
          <xdr:row>4</xdr:row>
          <xdr:rowOff>0</xdr:rowOff>
        </xdr:to>
        <xdr:sp macro="" textlink="">
          <xdr:nvSpPr>
            <xdr:cNvPr id="6190" name="Button 46" hidden="1">
              <a:extLst>
                <a:ext uri="{63B3BB69-23CF-44E3-9099-C40C66FF867C}">
                  <a14:compatExt spid="_x0000_s6190"/>
                </a:ext>
                <a:ext uri="{FF2B5EF4-FFF2-40B4-BE49-F238E27FC236}">
                  <a16:creationId xmlns:a16="http://schemas.microsoft.com/office/drawing/2014/main" id="{00000000-0008-0000-0300-00002E180000}"/>
                </a:ext>
              </a:extLst>
            </xdr:cNvPr>
            <xdr:cNvSpPr/>
          </xdr:nvSpPr>
          <xdr:spPr bwMode="auto">
            <a:xfrm>
              <a:off x="0" y="0"/>
              <a:ext cx="0" cy="0"/>
            </a:xfrm>
            <a:prstGeom prst="rect">
              <a:avLst/>
            </a:prstGeom>
            <a:noFill/>
            <a:ln w="9525">
              <a:miter lim="800000"/>
              <a:headEnd/>
              <a:tailEnd/>
            </a:ln>
          </xdr:spPr>
          <xdr:txBody>
            <a:bodyPr vertOverflow="clip" wrap="square" lIns="36576" tIns="27432" rIns="36576" bIns="27432" anchor="ctr" upright="1"/>
            <a:lstStyle/>
            <a:p>
              <a:pPr algn="ctr" rtl="0">
                <a:defRPr sz="1000"/>
              </a:pPr>
              <a:r>
                <a:rPr lang="en-US" sz="1000" b="0" i="0" u="none" strike="noStrike" baseline="0">
                  <a:solidFill>
                    <a:srgbClr val="000000"/>
                  </a:solidFill>
                  <a:latin typeface="Arial"/>
                  <a:cs typeface="Arial"/>
                </a:rPr>
                <a:t>Main Menu</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10</xdr:col>
          <xdr:colOff>0</xdr:colOff>
          <xdr:row>2</xdr:row>
          <xdr:rowOff>0</xdr:rowOff>
        </xdr:from>
        <xdr:to>
          <xdr:col>11</xdr:col>
          <xdr:colOff>0</xdr:colOff>
          <xdr:row>4</xdr:row>
          <xdr:rowOff>0</xdr:rowOff>
        </xdr:to>
        <xdr:sp macro="" textlink="">
          <xdr:nvSpPr>
            <xdr:cNvPr id="6192" name="Button 48" hidden="1">
              <a:extLst>
                <a:ext uri="{63B3BB69-23CF-44E3-9099-C40C66FF867C}">
                  <a14:compatExt spid="_x0000_s6192"/>
                </a:ext>
                <a:ext uri="{FF2B5EF4-FFF2-40B4-BE49-F238E27FC236}">
                  <a16:creationId xmlns:a16="http://schemas.microsoft.com/office/drawing/2014/main" id="{00000000-0008-0000-0300-000030180000}"/>
                </a:ext>
              </a:extLst>
            </xdr:cNvPr>
            <xdr:cNvSpPr/>
          </xdr:nvSpPr>
          <xdr:spPr bwMode="auto">
            <a:xfrm>
              <a:off x="0" y="0"/>
              <a:ext cx="0" cy="0"/>
            </a:xfrm>
            <a:prstGeom prst="rect">
              <a:avLst/>
            </a:prstGeom>
            <a:noFill/>
            <a:ln w="9525">
              <a:miter lim="800000"/>
              <a:headEnd/>
              <a:tailEnd/>
            </a:ln>
          </xdr:spPr>
          <xdr:txBody>
            <a:bodyPr vertOverflow="clip" wrap="square" lIns="36576" tIns="27432" rIns="36576" bIns="27432" anchor="ctr" upright="1"/>
            <a:lstStyle/>
            <a:p>
              <a:pPr algn="ctr" rtl="0">
                <a:defRPr sz="1000"/>
              </a:pPr>
              <a:r>
                <a:rPr lang="en-US" sz="1000" b="0" i="0" u="none" strike="noStrike" baseline="0">
                  <a:solidFill>
                    <a:srgbClr val="000000"/>
                  </a:solidFill>
                  <a:latin typeface="Arial"/>
                  <a:cs typeface="Arial"/>
                </a:rPr>
                <a:t>Print</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2</xdr:col>
          <xdr:colOff>0</xdr:colOff>
          <xdr:row>20</xdr:row>
          <xdr:rowOff>0</xdr:rowOff>
        </xdr:from>
        <xdr:to>
          <xdr:col>4</xdr:col>
          <xdr:colOff>0</xdr:colOff>
          <xdr:row>22</xdr:row>
          <xdr:rowOff>0</xdr:rowOff>
        </xdr:to>
        <xdr:sp macro="" textlink="">
          <xdr:nvSpPr>
            <xdr:cNvPr id="6194" name="Button 50" hidden="1">
              <a:extLst>
                <a:ext uri="{63B3BB69-23CF-44E3-9099-C40C66FF867C}">
                  <a14:compatExt spid="_x0000_s6194"/>
                </a:ext>
                <a:ext uri="{FF2B5EF4-FFF2-40B4-BE49-F238E27FC236}">
                  <a16:creationId xmlns:a16="http://schemas.microsoft.com/office/drawing/2014/main" id="{00000000-0008-0000-0300-000032180000}"/>
                </a:ext>
              </a:extLst>
            </xdr:cNvPr>
            <xdr:cNvSpPr/>
          </xdr:nvSpPr>
          <xdr:spPr bwMode="auto">
            <a:xfrm>
              <a:off x="0" y="0"/>
              <a:ext cx="0" cy="0"/>
            </a:xfrm>
            <a:prstGeom prst="rect">
              <a:avLst/>
            </a:prstGeom>
            <a:noFill/>
            <a:ln w="9525">
              <a:miter lim="800000"/>
              <a:headEnd/>
              <a:tailEnd/>
            </a:ln>
          </xdr:spPr>
          <xdr:txBody>
            <a:bodyPr vertOverflow="clip" wrap="square" lIns="36576" tIns="27432" rIns="36576" bIns="27432" anchor="ctr" upright="1"/>
            <a:lstStyle/>
            <a:p>
              <a:pPr algn="ctr" rtl="0">
                <a:defRPr sz="1000"/>
              </a:pPr>
              <a:r>
                <a:rPr lang="en-US" sz="1000" b="0" i="0" u="none" strike="noStrike" baseline="0">
                  <a:solidFill>
                    <a:srgbClr val="000000"/>
                  </a:solidFill>
                  <a:latin typeface="Arial"/>
                  <a:cs typeface="Arial"/>
                </a:rPr>
                <a:t>Use Implement Defaults</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2</xdr:col>
          <xdr:colOff>0</xdr:colOff>
          <xdr:row>34</xdr:row>
          <xdr:rowOff>0</xdr:rowOff>
        </xdr:from>
        <xdr:to>
          <xdr:col>3</xdr:col>
          <xdr:colOff>0</xdr:colOff>
          <xdr:row>37</xdr:row>
          <xdr:rowOff>0</xdr:rowOff>
        </xdr:to>
        <xdr:sp macro="" textlink="">
          <xdr:nvSpPr>
            <xdr:cNvPr id="6195" name="Button 51" hidden="1">
              <a:extLst>
                <a:ext uri="{63B3BB69-23CF-44E3-9099-C40C66FF867C}">
                  <a14:compatExt spid="_x0000_s6195"/>
                </a:ext>
                <a:ext uri="{FF2B5EF4-FFF2-40B4-BE49-F238E27FC236}">
                  <a16:creationId xmlns:a16="http://schemas.microsoft.com/office/drawing/2014/main" id="{00000000-0008-0000-0300-000033180000}"/>
                </a:ext>
              </a:extLst>
            </xdr:cNvPr>
            <xdr:cNvSpPr/>
          </xdr:nvSpPr>
          <xdr:spPr bwMode="auto">
            <a:xfrm>
              <a:off x="0" y="0"/>
              <a:ext cx="0" cy="0"/>
            </a:xfrm>
            <a:prstGeom prst="rect">
              <a:avLst/>
            </a:prstGeom>
            <a:noFill/>
            <a:ln w="9525">
              <a:miter lim="800000"/>
              <a:headEnd/>
              <a:tailEnd/>
            </a:ln>
          </xdr:spPr>
          <xdr:txBody>
            <a:bodyPr vertOverflow="clip" wrap="square" lIns="36576" tIns="27432" rIns="36576" bIns="27432" anchor="ctr" upright="1"/>
            <a:lstStyle/>
            <a:p>
              <a:pPr algn="ctr" rtl="0">
                <a:defRPr sz="1000"/>
              </a:pPr>
              <a:r>
                <a:rPr lang="en-US" sz="1000" b="0" i="0" u="none" strike="noStrike" baseline="0">
                  <a:solidFill>
                    <a:srgbClr val="000000"/>
                  </a:solidFill>
                  <a:latin typeface="Arial"/>
                  <a:cs typeface="Arial"/>
                </a:rPr>
                <a:t>Use Tractor Defaults</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2</xdr:col>
          <xdr:colOff>0</xdr:colOff>
          <xdr:row>43</xdr:row>
          <xdr:rowOff>0</xdr:rowOff>
        </xdr:from>
        <xdr:to>
          <xdr:col>4</xdr:col>
          <xdr:colOff>0</xdr:colOff>
          <xdr:row>45</xdr:row>
          <xdr:rowOff>0</xdr:rowOff>
        </xdr:to>
        <xdr:sp macro="" textlink="">
          <xdr:nvSpPr>
            <xdr:cNvPr id="6197" name="Button 53" hidden="1">
              <a:extLst>
                <a:ext uri="{63B3BB69-23CF-44E3-9099-C40C66FF867C}">
                  <a14:compatExt spid="_x0000_s6197"/>
                </a:ext>
                <a:ext uri="{FF2B5EF4-FFF2-40B4-BE49-F238E27FC236}">
                  <a16:creationId xmlns:a16="http://schemas.microsoft.com/office/drawing/2014/main" id="{00000000-0008-0000-0300-000035180000}"/>
                </a:ext>
              </a:extLst>
            </xdr:cNvPr>
            <xdr:cNvSpPr/>
          </xdr:nvSpPr>
          <xdr:spPr bwMode="auto">
            <a:xfrm>
              <a:off x="0" y="0"/>
              <a:ext cx="0" cy="0"/>
            </a:xfrm>
            <a:prstGeom prst="rect">
              <a:avLst/>
            </a:prstGeom>
            <a:noFill/>
            <a:ln w="9525">
              <a:miter lim="800000"/>
              <a:headEnd/>
              <a:tailEnd/>
            </a:ln>
          </xdr:spPr>
          <xdr:txBody>
            <a:bodyPr vertOverflow="clip" wrap="square" lIns="36576" tIns="27432" rIns="36576" bIns="27432" anchor="ctr" upright="1"/>
            <a:lstStyle/>
            <a:p>
              <a:pPr algn="ctr" rtl="0">
                <a:defRPr sz="1000"/>
              </a:pPr>
              <a:r>
                <a:rPr lang="en-US" sz="1000" b="0" i="0" u="none" strike="noStrike" baseline="0">
                  <a:solidFill>
                    <a:srgbClr val="000000"/>
                  </a:solidFill>
                  <a:latin typeface="Arial"/>
                  <a:cs typeface="Arial"/>
                </a:rPr>
                <a:t>Use Defaults</a:t>
              </a:r>
            </a:p>
            <a:p>
              <a:pPr algn="ctr" rtl="0">
                <a:defRPr sz="1000"/>
              </a:pPr>
              <a:endParaRPr lang="en-US" sz="1000" b="0" i="0" u="none" strike="noStrike" baseline="0">
                <a:solidFill>
                  <a:srgbClr val="000000"/>
                </a:solidFill>
                <a:latin typeface="Arial"/>
                <a:cs typeface="Arial"/>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10</xdr:col>
          <xdr:colOff>0</xdr:colOff>
          <xdr:row>23</xdr:row>
          <xdr:rowOff>0</xdr:rowOff>
        </xdr:from>
        <xdr:to>
          <xdr:col>12</xdr:col>
          <xdr:colOff>0</xdr:colOff>
          <xdr:row>26</xdr:row>
          <xdr:rowOff>0</xdr:rowOff>
        </xdr:to>
        <xdr:sp macro="" textlink="">
          <xdr:nvSpPr>
            <xdr:cNvPr id="6199" name="Button 55" hidden="1">
              <a:extLst>
                <a:ext uri="{63B3BB69-23CF-44E3-9099-C40C66FF867C}">
                  <a14:compatExt spid="_x0000_s6199"/>
                </a:ext>
                <a:ext uri="{FF2B5EF4-FFF2-40B4-BE49-F238E27FC236}">
                  <a16:creationId xmlns:a16="http://schemas.microsoft.com/office/drawing/2014/main" id="{00000000-0008-0000-0300-000037180000}"/>
                </a:ext>
              </a:extLst>
            </xdr:cNvPr>
            <xdr:cNvSpPr/>
          </xdr:nvSpPr>
          <xdr:spPr bwMode="auto">
            <a:xfrm>
              <a:off x="0" y="0"/>
              <a:ext cx="0" cy="0"/>
            </a:xfrm>
            <a:prstGeom prst="rect">
              <a:avLst/>
            </a:prstGeom>
            <a:noFill/>
            <a:ln w="9525">
              <a:miter lim="800000"/>
              <a:headEnd/>
              <a:tailEnd/>
            </a:ln>
          </xdr:spPr>
          <xdr:txBody>
            <a:bodyPr vertOverflow="clip" wrap="square" lIns="36576" tIns="27432" rIns="36576" bIns="27432" anchor="ctr" upright="1"/>
            <a:lstStyle/>
            <a:p>
              <a:pPr algn="ctr" rtl="0">
                <a:defRPr sz="1000"/>
              </a:pPr>
              <a:r>
                <a:rPr lang="en-US" sz="1000" b="0" i="0" u="none" strike="noStrike" baseline="0">
                  <a:solidFill>
                    <a:srgbClr val="000000"/>
                  </a:solidFill>
                  <a:latin typeface="Arial"/>
                  <a:cs typeface="Arial"/>
                </a:rPr>
                <a:t>Use Defaults</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10</xdr:col>
          <xdr:colOff>0</xdr:colOff>
          <xdr:row>9</xdr:row>
          <xdr:rowOff>0</xdr:rowOff>
        </xdr:from>
        <xdr:to>
          <xdr:col>12</xdr:col>
          <xdr:colOff>0</xdr:colOff>
          <xdr:row>12</xdr:row>
          <xdr:rowOff>0</xdr:rowOff>
        </xdr:to>
        <xdr:sp macro="" textlink="">
          <xdr:nvSpPr>
            <xdr:cNvPr id="6201" name="Button 57" hidden="1">
              <a:extLst>
                <a:ext uri="{63B3BB69-23CF-44E3-9099-C40C66FF867C}">
                  <a14:compatExt spid="_x0000_s6201"/>
                </a:ext>
                <a:ext uri="{FF2B5EF4-FFF2-40B4-BE49-F238E27FC236}">
                  <a16:creationId xmlns:a16="http://schemas.microsoft.com/office/drawing/2014/main" id="{00000000-0008-0000-0300-000039180000}"/>
                </a:ext>
              </a:extLst>
            </xdr:cNvPr>
            <xdr:cNvSpPr/>
          </xdr:nvSpPr>
          <xdr:spPr bwMode="auto">
            <a:xfrm>
              <a:off x="0" y="0"/>
              <a:ext cx="0" cy="0"/>
            </a:xfrm>
            <a:prstGeom prst="rect">
              <a:avLst/>
            </a:prstGeom>
            <a:noFill/>
            <a:ln w="9525">
              <a:miter lim="800000"/>
              <a:headEnd/>
              <a:tailEnd/>
            </a:ln>
          </xdr:spPr>
          <xdr:txBody>
            <a:bodyPr vertOverflow="clip" wrap="square" lIns="36576" tIns="27432" rIns="36576" bIns="27432" anchor="ctr" upright="1"/>
            <a:lstStyle/>
            <a:p>
              <a:pPr algn="ctr" rtl="0">
                <a:defRPr sz="1000"/>
              </a:pPr>
              <a:r>
                <a:rPr lang="en-US" sz="1000" b="0" i="0" u="none" strike="noStrike" baseline="0">
                  <a:solidFill>
                    <a:srgbClr val="000000"/>
                  </a:solidFill>
                  <a:latin typeface="Arial"/>
                  <a:cs typeface="Arial"/>
                </a:rPr>
                <a:t>Use Defaults</a:t>
              </a:r>
            </a:p>
          </xdr:txBody>
        </xdr:sp>
        <xdr:clientData fPrintsWithSheet="0"/>
      </xdr:twoCellAnchor>
    </mc:Choice>
    <mc:Fallback/>
  </mc:AlternateContent>
</xdr:wsDr>
</file>

<file path=xl/drawings/drawing5.xml><?xml version="1.0" encoding="utf-8"?>
<xdr:wsDr xmlns:xdr="http://schemas.openxmlformats.org/drawingml/2006/spreadsheetDrawing" xmlns:a="http://schemas.openxmlformats.org/drawingml/2006/main">
  <xdr:twoCellAnchor>
    <xdr:from>
      <xdr:col>9</xdr:col>
      <xdr:colOff>632460</xdr:colOff>
      <xdr:row>2</xdr:row>
      <xdr:rowOff>45720</xdr:rowOff>
    </xdr:from>
    <xdr:to>
      <xdr:col>11</xdr:col>
      <xdr:colOff>480060</xdr:colOff>
      <xdr:row>5</xdr:row>
      <xdr:rowOff>106680</xdr:rowOff>
    </xdr:to>
    <xdr:pic macro="[0]!about">
      <xdr:nvPicPr>
        <xdr:cNvPr id="7254" name="Picture 9" descr="fastbluegreensmallfast">
          <a:extLst>
            <a:ext uri="{FF2B5EF4-FFF2-40B4-BE49-F238E27FC236}">
              <a16:creationId xmlns:a16="http://schemas.microsoft.com/office/drawing/2014/main" id="{00000000-0008-0000-0500-0000561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404360" y="220980"/>
          <a:ext cx="1440180" cy="571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4</xdr:col>
      <xdr:colOff>7620</xdr:colOff>
      <xdr:row>38</xdr:row>
      <xdr:rowOff>160020</xdr:rowOff>
    </xdr:from>
    <xdr:to>
      <xdr:col>14</xdr:col>
      <xdr:colOff>7620</xdr:colOff>
      <xdr:row>53</xdr:row>
      <xdr:rowOff>160020</xdr:rowOff>
    </xdr:to>
    <xdr:graphicFrame macro="">
      <xdr:nvGraphicFramePr>
        <xdr:cNvPr id="7255" name="Chart 13">
          <a:extLst>
            <a:ext uri="{FF2B5EF4-FFF2-40B4-BE49-F238E27FC236}">
              <a16:creationId xmlns:a16="http://schemas.microsoft.com/office/drawing/2014/main" id="{00000000-0008-0000-0500-0000571C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mc:AlternateContent xmlns:mc="http://schemas.openxmlformats.org/markup-compatibility/2006">
    <mc:Choice xmlns:a14="http://schemas.microsoft.com/office/drawing/2010/main" Requires="a14">
      <xdr:twoCellAnchor>
        <xdr:from>
          <xdr:col>9</xdr:col>
          <xdr:colOff>0</xdr:colOff>
          <xdr:row>9</xdr:row>
          <xdr:rowOff>0</xdr:rowOff>
        </xdr:from>
        <xdr:to>
          <xdr:col>10</xdr:col>
          <xdr:colOff>0</xdr:colOff>
          <xdr:row>11</xdr:row>
          <xdr:rowOff>0</xdr:rowOff>
        </xdr:to>
        <xdr:sp macro="" textlink="">
          <xdr:nvSpPr>
            <xdr:cNvPr id="7180" name="Button 12" hidden="1">
              <a:extLst>
                <a:ext uri="{63B3BB69-23CF-44E3-9099-C40C66FF867C}">
                  <a14:compatExt spid="_x0000_s7180"/>
                </a:ext>
                <a:ext uri="{FF2B5EF4-FFF2-40B4-BE49-F238E27FC236}">
                  <a16:creationId xmlns:a16="http://schemas.microsoft.com/office/drawing/2014/main" id="{00000000-0008-0000-0500-00000C1C0000}"/>
                </a:ext>
              </a:extLst>
            </xdr:cNvPr>
            <xdr:cNvSpPr/>
          </xdr:nvSpPr>
          <xdr:spPr bwMode="auto">
            <a:xfrm>
              <a:off x="0" y="0"/>
              <a:ext cx="0" cy="0"/>
            </a:xfrm>
            <a:prstGeom prst="rect">
              <a:avLst/>
            </a:prstGeom>
            <a:noFill/>
            <a:ln w="9525">
              <a:miter lim="800000"/>
              <a:headEnd/>
              <a:tailEnd/>
            </a:ln>
          </xdr:spPr>
          <xdr:txBody>
            <a:bodyPr vertOverflow="clip" wrap="square" lIns="36576" tIns="27432" rIns="36576" bIns="27432" anchor="ctr" upright="1"/>
            <a:lstStyle/>
            <a:p>
              <a:pPr algn="ctr" rtl="0">
                <a:defRPr sz="1000"/>
              </a:pPr>
              <a:r>
                <a:rPr lang="en-US" sz="1000" b="0" i="0" u="none" strike="noStrike" baseline="0">
                  <a:solidFill>
                    <a:srgbClr val="000000"/>
                  </a:solidFill>
                  <a:latin typeface="Arial"/>
                  <a:cs typeface="Arial"/>
                </a:rPr>
                <a:t>Main Menu</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9</xdr:col>
          <xdr:colOff>0</xdr:colOff>
          <xdr:row>12</xdr:row>
          <xdr:rowOff>0</xdr:rowOff>
        </xdr:from>
        <xdr:to>
          <xdr:col>10</xdr:col>
          <xdr:colOff>0</xdr:colOff>
          <xdr:row>14</xdr:row>
          <xdr:rowOff>0</xdr:rowOff>
        </xdr:to>
        <xdr:sp macro="" textlink="">
          <xdr:nvSpPr>
            <xdr:cNvPr id="7181" name="Button 13" hidden="1">
              <a:extLst>
                <a:ext uri="{63B3BB69-23CF-44E3-9099-C40C66FF867C}">
                  <a14:compatExt spid="_x0000_s7181"/>
                </a:ext>
                <a:ext uri="{FF2B5EF4-FFF2-40B4-BE49-F238E27FC236}">
                  <a16:creationId xmlns:a16="http://schemas.microsoft.com/office/drawing/2014/main" id="{00000000-0008-0000-0500-00000D1C0000}"/>
                </a:ext>
              </a:extLst>
            </xdr:cNvPr>
            <xdr:cNvSpPr/>
          </xdr:nvSpPr>
          <xdr:spPr bwMode="auto">
            <a:xfrm>
              <a:off x="0" y="0"/>
              <a:ext cx="0" cy="0"/>
            </a:xfrm>
            <a:prstGeom prst="rect">
              <a:avLst/>
            </a:prstGeom>
            <a:noFill/>
            <a:ln w="9525">
              <a:miter lim="800000"/>
              <a:headEnd/>
              <a:tailEnd/>
            </a:ln>
          </xdr:spPr>
          <xdr:txBody>
            <a:bodyPr vertOverflow="clip" wrap="square" lIns="36576" tIns="27432" rIns="36576" bIns="27432" anchor="ctr" upright="1"/>
            <a:lstStyle/>
            <a:p>
              <a:pPr algn="ctr" rtl="0">
                <a:defRPr sz="1000"/>
              </a:pPr>
              <a:r>
                <a:rPr lang="en-US" sz="1000" b="0" i="0" u="none" strike="noStrike" baseline="0">
                  <a:solidFill>
                    <a:srgbClr val="000000"/>
                  </a:solidFill>
                  <a:latin typeface="Arial"/>
                  <a:cs typeface="Arial"/>
                </a:rPr>
                <a:t>Print</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2</xdr:col>
          <xdr:colOff>0</xdr:colOff>
          <xdr:row>1</xdr:row>
          <xdr:rowOff>22860</xdr:rowOff>
        </xdr:from>
        <xdr:to>
          <xdr:col>5</xdr:col>
          <xdr:colOff>0</xdr:colOff>
          <xdr:row>2</xdr:row>
          <xdr:rowOff>0</xdr:rowOff>
        </xdr:to>
        <xdr:sp macro="" textlink="">
          <xdr:nvSpPr>
            <xdr:cNvPr id="7183" name="Button 15" hidden="1">
              <a:extLst>
                <a:ext uri="{63B3BB69-23CF-44E3-9099-C40C66FF867C}">
                  <a14:compatExt spid="_x0000_s7183"/>
                </a:ext>
                <a:ext uri="{FF2B5EF4-FFF2-40B4-BE49-F238E27FC236}">
                  <a16:creationId xmlns:a16="http://schemas.microsoft.com/office/drawing/2014/main" id="{00000000-0008-0000-0500-00000F1C0000}"/>
                </a:ext>
              </a:extLst>
            </xdr:cNvPr>
            <xdr:cNvSpPr/>
          </xdr:nvSpPr>
          <xdr:spPr bwMode="auto">
            <a:xfrm>
              <a:off x="0" y="0"/>
              <a:ext cx="0" cy="0"/>
            </a:xfrm>
            <a:prstGeom prst="rect">
              <a:avLst/>
            </a:prstGeom>
            <a:noFill/>
            <a:ln w="9525">
              <a:miter lim="800000"/>
              <a:headEnd/>
              <a:tailEnd/>
            </a:ln>
          </xdr:spPr>
          <xdr:txBody>
            <a:bodyPr vertOverflow="clip" wrap="square" lIns="36576" tIns="27432" rIns="36576" bIns="27432" anchor="ctr" upright="1"/>
            <a:lstStyle/>
            <a:p>
              <a:pPr algn="ctr" rtl="0">
                <a:defRPr sz="1000"/>
              </a:pPr>
              <a:r>
                <a:rPr lang="en-US" sz="1000" b="0" i="0" u="none" strike="noStrike" baseline="0">
                  <a:solidFill>
                    <a:srgbClr val="000000"/>
                  </a:solidFill>
                  <a:latin typeface="Arial"/>
                  <a:cs typeface="Arial"/>
                </a:rPr>
                <a:t>Combine/Header Defaults</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2</xdr:col>
          <xdr:colOff>0</xdr:colOff>
          <xdr:row>15</xdr:row>
          <xdr:rowOff>0</xdr:rowOff>
        </xdr:from>
        <xdr:to>
          <xdr:col>5</xdr:col>
          <xdr:colOff>0</xdr:colOff>
          <xdr:row>16</xdr:row>
          <xdr:rowOff>0</xdr:rowOff>
        </xdr:to>
        <xdr:sp macro="" textlink="">
          <xdr:nvSpPr>
            <xdr:cNvPr id="7185" name="Button 17" hidden="1">
              <a:extLst>
                <a:ext uri="{63B3BB69-23CF-44E3-9099-C40C66FF867C}">
                  <a14:compatExt spid="_x0000_s7185"/>
                </a:ext>
                <a:ext uri="{FF2B5EF4-FFF2-40B4-BE49-F238E27FC236}">
                  <a16:creationId xmlns:a16="http://schemas.microsoft.com/office/drawing/2014/main" id="{00000000-0008-0000-0500-0000111C0000}"/>
                </a:ext>
              </a:extLst>
            </xdr:cNvPr>
            <xdr:cNvSpPr/>
          </xdr:nvSpPr>
          <xdr:spPr bwMode="auto">
            <a:xfrm>
              <a:off x="0" y="0"/>
              <a:ext cx="0" cy="0"/>
            </a:xfrm>
            <a:prstGeom prst="rect">
              <a:avLst/>
            </a:prstGeom>
            <a:noFill/>
            <a:ln w="9525">
              <a:miter lim="800000"/>
              <a:headEnd/>
              <a:tailEnd/>
            </a:ln>
          </xdr:spPr>
          <xdr:txBody>
            <a:bodyPr vertOverflow="clip" wrap="square" lIns="36576" tIns="27432" rIns="36576" bIns="27432" anchor="ctr" upright="1"/>
            <a:lstStyle/>
            <a:p>
              <a:pPr algn="ctr" rtl="0">
                <a:defRPr sz="1000"/>
              </a:pPr>
              <a:r>
                <a:rPr lang="en-US" sz="1000" b="0" i="0" u="none" strike="noStrike" baseline="0">
                  <a:solidFill>
                    <a:srgbClr val="000000"/>
                  </a:solidFill>
                  <a:latin typeface="Arial"/>
                  <a:cs typeface="Arial"/>
                </a:rPr>
                <a:t>Intermediate Value Defaults</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9</xdr:col>
          <xdr:colOff>0</xdr:colOff>
          <xdr:row>16</xdr:row>
          <xdr:rowOff>0</xdr:rowOff>
        </xdr:from>
        <xdr:to>
          <xdr:col>11</xdr:col>
          <xdr:colOff>0</xdr:colOff>
          <xdr:row>17</xdr:row>
          <xdr:rowOff>0</xdr:rowOff>
        </xdr:to>
        <xdr:sp macro="" textlink="">
          <xdr:nvSpPr>
            <xdr:cNvPr id="7187" name="Button 19" hidden="1">
              <a:extLst>
                <a:ext uri="{63B3BB69-23CF-44E3-9099-C40C66FF867C}">
                  <a14:compatExt spid="_x0000_s7187"/>
                </a:ext>
                <a:ext uri="{FF2B5EF4-FFF2-40B4-BE49-F238E27FC236}">
                  <a16:creationId xmlns:a16="http://schemas.microsoft.com/office/drawing/2014/main" id="{00000000-0008-0000-0500-0000131C0000}"/>
                </a:ext>
              </a:extLst>
            </xdr:cNvPr>
            <xdr:cNvSpPr/>
          </xdr:nvSpPr>
          <xdr:spPr bwMode="auto">
            <a:xfrm>
              <a:off x="0" y="0"/>
              <a:ext cx="0" cy="0"/>
            </a:xfrm>
            <a:prstGeom prst="rect">
              <a:avLst/>
            </a:prstGeom>
            <a:noFill/>
            <a:ln w="9525">
              <a:miter lim="800000"/>
              <a:headEnd/>
              <a:tailEnd/>
            </a:ln>
          </xdr:spPr>
          <xdr:txBody>
            <a:bodyPr vertOverflow="clip" wrap="square" lIns="36576" tIns="27432" rIns="36576" bIns="27432" anchor="ctr" upright="1"/>
            <a:lstStyle/>
            <a:p>
              <a:pPr algn="ctr" rtl="0">
                <a:defRPr sz="1000"/>
              </a:pPr>
              <a:r>
                <a:rPr lang="en-US" sz="1000" b="0" i="0" u="none" strike="noStrike" baseline="0">
                  <a:solidFill>
                    <a:srgbClr val="000000"/>
                  </a:solidFill>
                  <a:latin typeface="Arial"/>
                  <a:cs typeface="Arial"/>
                </a:rPr>
                <a:t>Main Input Defaults</a:t>
              </a:r>
            </a:p>
          </xdr:txBody>
        </xdr:sp>
        <xdr:clientData fPrintsWithSheet="0"/>
      </xdr:twoCellAnchor>
    </mc:Choice>
    <mc:Fallback/>
  </mc:AlternateContent>
</xdr:wsDr>
</file>

<file path=xl/drawings/drawing6.xml><?xml version="1.0" encoding="utf-8"?>
<xdr:wsDr xmlns:xdr="http://schemas.openxmlformats.org/drawingml/2006/spreadsheetDrawing" xmlns:a="http://schemas.openxmlformats.org/drawingml/2006/main">
  <xdr:twoCellAnchor>
    <xdr:from>
      <xdr:col>2</xdr:col>
      <xdr:colOff>38100</xdr:colOff>
      <xdr:row>0</xdr:row>
      <xdr:rowOff>38100</xdr:rowOff>
    </xdr:from>
    <xdr:to>
      <xdr:col>3</xdr:col>
      <xdr:colOff>251460</xdr:colOff>
      <xdr:row>3</xdr:row>
      <xdr:rowOff>129540</xdr:rowOff>
    </xdr:to>
    <xdr:pic macro="[0]!about">
      <xdr:nvPicPr>
        <xdr:cNvPr id="2" name="Picture 19" descr="fastbluegreensmallfast">
          <a:extLst>
            <a:ext uri="{FF2B5EF4-FFF2-40B4-BE49-F238E27FC236}">
              <a16:creationId xmlns:a16="http://schemas.microsoft.com/office/drawing/2014/main" id="{00000000-0008-0000-0600-00000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20980" y="38100"/>
          <a:ext cx="1379220" cy="59436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editAs="oneCell">
        <xdr:from>
          <xdr:col>8</xdr:col>
          <xdr:colOff>22860</xdr:colOff>
          <xdr:row>2</xdr:row>
          <xdr:rowOff>7620</xdr:rowOff>
        </xdr:from>
        <xdr:to>
          <xdr:col>9</xdr:col>
          <xdr:colOff>304800</xdr:colOff>
          <xdr:row>3</xdr:row>
          <xdr:rowOff>114300</xdr:rowOff>
        </xdr:to>
        <xdr:sp macro="" textlink="">
          <xdr:nvSpPr>
            <xdr:cNvPr id="12293" name="CommandButton5" hidden="1">
              <a:extLst>
                <a:ext uri="{63B3BB69-23CF-44E3-9099-C40C66FF867C}">
                  <a14:compatExt spid="_x0000_s12293"/>
                </a:ext>
                <a:ext uri="{FF2B5EF4-FFF2-40B4-BE49-F238E27FC236}">
                  <a16:creationId xmlns:a16="http://schemas.microsoft.com/office/drawing/2014/main" id="{00000000-0008-0000-0600-0000053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373380</xdr:colOff>
          <xdr:row>2</xdr:row>
          <xdr:rowOff>7620</xdr:rowOff>
        </xdr:from>
        <xdr:to>
          <xdr:col>11</xdr:col>
          <xdr:colOff>60960</xdr:colOff>
          <xdr:row>3</xdr:row>
          <xdr:rowOff>114300</xdr:rowOff>
        </xdr:to>
        <xdr:sp macro="" textlink="">
          <xdr:nvSpPr>
            <xdr:cNvPr id="12294" name="CommandButton6" hidden="1">
              <a:extLst>
                <a:ext uri="{63B3BB69-23CF-44E3-9099-C40C66FF867C}">
                  <a14:compatExt spid="_x0000_s12294"/>
                </a:ext>
                <a:ext uri="{FF2B5EF4-FFF2-40B4-BE49-F238E27FC236}">
                  <a16:creationId xmlns:a16="http://schemas.microsoft.com/office/drawing/2014/main" id="{00000000-0008-0000-0600-0000063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xdr:col>
          <xdr:colOff>45720</xdr:colOff>
          <xdr:row>20</xdr:row>
          <xdr:rowOff>0</xdr:rowOff>
        </xdr:from>
        <xdr:to>
          <xdr:col>3</xdr:col>
          <xdr:colOff>0</xdr:colOff>
          <xdr:row>22</xdr:row>
          <xdr:rowOff>0</xdr:rowOff>
        </xdr:to>
        <xdr:sp macro="" textlink="">
          <xdr:nvSpPr>
            <xdr:cNvPr id="12296" name="Button 8" hidden="1">
              <a:extLst>
                <a:ext uri="{63B3BB69-23CF-44E3-9099-C40C66FF867C}">
                  <a14:compatExt spid="_x0000_s12296"/>
                </a:ext>
                <a:ext uri="{FF2B5EF4-FFF2-40B4-BE49-F238E27FC236}">
                  <a16:creationId xmlns:a16="http://schemas.microsoft.com/office/drawing/2014/main" id="{00000000-0008-0000-0600-000008300000}"/>
                </a:ext>
              </a:extLst>
            </xdr:cNvPr>
            <xdr:cNvSpPr/>
          </xdr:nvSpPr>
          <xdr:spPr bwMode="auto">
            <a:xfrm>
              <a:off x="0" y="0"/>
              <a:ext cx="0" cy="0"/>
            </a:xfrm>
            <a:prstGeom prst="rect">
              <a:avLst/>
            </a:prstGeom>
            <a:noFill/>
            <a:ln w="9525">
              <a:miter lim="800000"/>
              <a:headEnd/>
              <a:tailEnd/>
            </a:ln>
          </xdr:spPr>
          <xdr:txBody>
            <a:bodyPr vertOverflow="clip" wrap="square" lIns="36576" tIns="27432" rIns="36576" bIns="27432" anchor="ctr" upright="1"/>
            <a:lstStyle/>
            <a:p>
              <a:pPr algn="ctr" rtl="0">
                <a:defRPr sz="1000"/>
              </a:pPr>
              <a:r>
                <a:rPr lang="en-US" sz="1000" b="0" i="0" u="none" strike="noStrike" baseline="0">
                  <a:solidFill>
                    <a:srgbClr val="000000"/>
                  </a:solidFill>
                  <a:latin typeface="Arial"/>
                  <a:cs typeface="Arial"/>
                </a:rPr>
                <a:t>Use Implement Defaults</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10</xdr:col>
          <xdr:colOff>0</xdr:colOff>
          <xdr:row>9</xdr:row>
          <xdr:rowOff>0</xdr:rowOff>
        </xdr:from>
        <xdr:to>
          <xdr:col>12</xdr:col>
          <xdr:colOff>0</xdr:colOff>
          <xdr:row>12</xdr:row>
          <xdr:rowOff>0</xdr:rowOff>
        </xdr:to>
        <xdr:sp macro="" textlink="">
          <xdr:nvSpPr>
            <xdr:cNvPr id="12298" name="Button 10" hidden="1">
              <a:extLst>
                <a:ext uri="{63B3BB69-23CF-44E3-9099-C40C66FF867C}">
                  <a14:compatExt spid="_x0000_s12298"/>
                </a:ext>
                <a:ext uri="{FF2B5EF4-FFF2-40B4-BE49-F238E27FC236}">
                  <a16:creationId xmlns:a16="http://schemas.microsoft.com/office/drawing/2014/main" id="{00000000-0008-0000-0600-00000A300000}"/>
                </a:ext>
              </a:extLst>
            </xdr:cNvPr>
            <xdr:cNvSpPr/>
          </xdr:nvSpPr>
          <xdr:spPr bwMode="auto">
            <a:xfrm>
              <a:off x="0" y="0"/>
              <a:ext cx="0" cy="0"/>
            </a:xfrm>
            <a:prstGeom prst="rect">
              <a:avLst/>
            </a:prstGeom>
            <a:noFill/>
            <a:ln w="9525">
              <a:miter lim="800000"/>
              <a:headEnd/>
              <a:tailEnd/>
            </a:ln>
          </xdr:spPr>
          <xdr:txBody>
            <a:bodyPr vertOverflow="clip" wrap="square" lIns="36576" tIns="27432" rIns="36576" bIns="27432" anchor="ctr" upright="1"/>
            <a:lstStyle/>
            <a:p>
              <a:pPr algn="ctr" rtl="0">
                <a:defRPr sz="1000"/>
              </a:pPr>
              <a:r>
                <a:rPr lang="en-US" sz="1000" b="0" i="0" u="none" strike="noStrike" baseline="0">
                  <a:solidFill>
                    <a:srgbClr val="000000"/>
                  </a:solidFill>
                  <a:latin typeface="Arial"/>
                  <a:cs typeface="Arial"/>
                </a:rPr>
                <a:t>Use Defaults</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10</xdr:col>
          <xdr:colOff>0</xdr:colOff>
          <xdr:row>24</xdr:row>
          <xdr:rowOff>0</xdr:rowOff>
        </xdr:from>
        <xdr:to>
          <xdr:col>12</xdr:col>
          <xdr:colOff>0</xdr:colOff>
          <xdr:row>27</xdr:row>
          <xdr:rowOff>0</xdr:rowOff>
        </xdr:to>
        <xdr:sp macro="" textlink="">
          <xdr:nvSpPr>
            <xdr:cNvPr id="12299" name="Button 11" hidden="1">
              <a:extLst>
                <a:ext uri="{63B3BB69-23CF-44E3-9099-C40C66FF867C}">
                  <a14:compatExt spid="_x0000_s12299"/>
                </a:ext>
                <a:ext uri="{FF2B5EF4-FFF2-40B4-BE49-F238E27FC236}">
                  <a16:creationId xmlns:a16="http://schemas.microsoft.com/office/drawing/2014/main" id="{00000000-0008-0000-0600-00000B300000}"/>
                </a:ext>
              </a:extLst>
            </xdr:cNvPr>
            <xdr:cNvSpPr/>
          </xdr:nvSpPr>
          <xdr:spPr bwMode="auto">
            <a:xfrm>
              <a:off x="0" y="0"/>
              <a:ext cx="0" cy="0"/>
            </a:xfrm>
            <a:prstGeom prst="rect">
              <a:avLst/>
            </a:prstGeom>
            <a:noFill/>
            <a:ln w="9525">
              <a:miter lim="800000"/>
              <a:headEnd/>
              <a:tailEnd/>
            </a:ln>
          </xdr:spPr>
          <xdr:txBody>
            <a:bodyPr vertOverflow="clip" wrap="square" lIns="36576" tIns="27432" rIns="36576" bIns="27432" anchor="ctr" upright="1"/>
            <a:lstStyle/>
            <a:p>
              <a:pPr algn="ctr" rtl="0">
                <a:defRPr sz="1000"/>
              </a:pPr>
              <a:r>
                <a:rPr lang="en-US" sz="1000" b="0" i="0" u="none" strike="noStrike" baseline="0">
                  <a:solidFill>
                    <a:srgbClr val="000000"/>
                  </a:solidFill>
                  <a:latin typeface="Arial"/>
                  <a:cs typeface="Arial"/>
                </a:rPr>
                <a:t>Use Defaults</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2</xdr:col>
          <xdr:colOff>0</xdr:colOff>
          <xdr:row>35</xdr:row>
          <xdr:rowOff>0</xdr:rowOff>
        </xdr:from>
        <xdr:to>
          <xdr:col>3</xdr:col>
          <xdr:colOff>0</xdr:colOff>
          <xdr:row>37</xdr:row>
          <xdr:rowOff>0</xdr:rowOff>
        </xdr:to>
        <xdr:sp macro="" textlink="">
          <xdr:nvSpPr>
            <xdr:cNvPr id="12300" name="Button 12" hidden="1">
              <a:extLst>
                <a:ext uri="{63B3BB69-23CF-44E3-9099-C40C66FF867C}">
                  <a14:compatExt spid="_x0000_s12300"/>
                </a:ext>
                <a:ext uri="{FF2B5EF4-FFF2-40B4-BE49-F238E27FC236}">
                  <a16:creationId xmlns:a16="http://schemas.microsoft.com/office/drawing/2014/main" id="{00000000-0008-0000-0600-00000C300000}"/>
                </a:ext>
              </a:extLst>
            </xdr:cNvPr>
            <xdr:cNvSpPr/>
          </xdr:nvSpPr>
          <xdr:spPr bwMode="auto">
            <a:xfrm>
              <a:off x="0" y="0"/>
              <a:ext cx="0" cy="0"/>
            </a:xfrm>
            <a:prstGeom prst="rect">
              <a:avLst/>
            </a:prstGeom>
            <a:noFill/>
            <a:ln w="9525">
              <a:miter lim="800000"/>
              <a:headEnd/>
              <a:tailEnd/>
            </a:ln>
          </xdr:spPr>
          <xdr:txBody>
            <a:bodyPr vertOverflow="clip" wrap="square" lIns="36576" tIns="27432" rIns="36576" bIns="27432" anchor="ctr" upright="1"/>
            <a:lstStyle/>
            <a:p>
              <a:pPr algn="ctr" rtl="0">
                <a:defRPr sz="1000"/>
              </a:pPr>
              <a:r>
                <a:rPr lang="en-US" sz="1000" b="0" i="0" u="none" strike="noStrike" baseline="0">
                  <a:solidFill>
                    <a:srgbClr val="000000"/>
                  </a:solidFill>
                  <a:latin typeface="Arial"/>
                  <a:cs typeface="Arial"/>
                </a:rPr>
                <a:t>Use Tractor Defaults</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2</xdr:col>
          <xdr:colOff>0</xdr:colOff>
          <xdr:row>43</xdr:row>
          <xdr:rowOff>0</xdr:rowOff>
        </xdr:from>
        <xdr:to>
          <xdr:col>3</xdr:col>
          <xdr:colOff>0</xdr:colOff>
          <xdr:row>45</xdr:row>
          <xdr:rowOff>0</xdr:rowOff>
        </xdr:to>
        <xdr:sp macro="" textlink="">
          <xdr:nvSpPr>
            <xdr:cNvPr id="12301" name="Button 13" hidden="1">
              <a:extLst>
                <a:ext uri="{63B3BB69-23CF-44E3-9099-C40C66FF867C}">
                  <a14:compatExt spid="_x0000_s12301"/>
                </a:ext>
                <a:ext uri="{FF2B5EF4-FFF2-40B4-BE49-F238E27FC236}">
                  <a16:creationId xmlns:a16="http://schemas.microsoft.com/office/drawing/2014/main" id="{00000000-0008-0000-0600-00000D300000}"/>
                </a:ext>
              </a:extLst>
            </xdr:cNvPr>
            <xdr:cNvSpPr/>
          </xdr:nvSpPr>
          <xdr:spPr bwMode="auto">
            <a:xfrm>
              <a:off x="0" y="0"/>
              <a:ext cx="0" cy="0"/>
            </a:xfrm>
            <a:prstGeom prst="rect">
              <a:avLst/>
            </a:prstGeom>
            <a:noFill/>
            <a:ln w="9525">
              <a:miter lim="800000"/>
              <a:headEnd/>
              <a:tailEnd/>
            </a:ln>
          </xdr:spPr>
          <xdr:txBody>
            <a:bodyPr vertOverflow="clip" wrap="square" lIns="36576" tIns="27432" rIns="36576" bIns="27432" anchor="ctr" upright="1"/>
            <a:lstStyle/>
            <a:p>
              <a:pPr algn="ctr" rtl="0">
                <a:defRPr sz="1000"/>
              </a:pPr>
              <a:r>
                <a:rPr lang="en-US" sz="1000" b="0" i="0" u="none" strike="noStrike" baseline="0">
                  <a:solidFill>
                    <a:srgbClr val="000000"/>
                  </a:solidFill>
                  <a:latin typeface="Arial"/>
                  <a:cs typeface="Arial"/>
                </a:rPr>
                <a:t>Use Defaults</a:t>
              </a:r>
            </a:p>
            <a:p>
              <a:pPr algn="ctr" rtl="0">
                <a:defRPr sz="1000"/>
              </a:pPr>
              <a:endParaRPr lang="en-US" sz="1000" b="0" i="0" u="none" strike="noStrike" baseline="0">
                <a:solidFill>
                  <a:srgbClr val="000000"/>
                </a:solidFill>
                <a:latin typeface="Arial"/>
                <a:cs typeface="Arial"/>
              </a:endParaRPr>
            </a:p>
          </xdr:txBody>
        </xdr:sp>
        <xdr:clientData fPrintsWithSheet="0"/>
      </xdr:twoCellAnchor>
    </mc:Choice>
    <mc:Fallback/>
  </mc:AlternateContent>
</xdr:wsDr>
</file>

<file path=xl/drawings/drawing7.xml><?xml version="1.0" encoding="utf-8"?>
<xdr:wsDr xmlns:xdr="http://schemas.openxmlformats.org/drawingml/2006/spreadsheetDrawing" xmlns:a="http://schemas.openxmlformats.org/drawingml/2006/main">
  <xdr:twoCellAnchor>
    <xdr:from>
      <xdr:col>2</xdr:col>
      <xdr:colOff>7620</xdr:colOff>
      <xdr:row>0</xdr:row>
      <xdr:rowOff>144780</xdr:rowOff>
    </xdr:from>
    <xdr:to>
      <xdr:col>3</xdr:col>
      <xdr:colOff>1386840</xdr:colOff>
      <xdr:row>4</xdr:row>
      <xdr:rowOff>68580</xdr:rowOff>
    </xdr:to>
    <xdr:pic macro="[0]!about">
      <xdr:nvPicPr>
        <xdr:cNvPr id="8238" name="Picture 7" descr="fastbluegreensmallfast">
          <a:extLst>
            <a:ext uri="{FF2B5EF4-FFF2-40B4-BE49-F238E27FC236}">
              <a16:creationId xmlns:a16="http://schemas.microsoft.com/office/drawing/2014/main" id="{00000000-0008-0000-0700-00002E2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3820" y="144780"/>
          <a:ext cx="1440180" cy="59436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xdr:from>
          <xdr:col>9</xdr:col>
          <xdr:colOff>0</xdr:colOff>
          <xdr:row>3</xdr:row>
          <xdr:rowOff>0</xdr:rowOff>
        </xdr:from>
        <xdr:to>
          <xdr:col>10</xdr:col>
          <xdr:colOff>0</xdr:colOff>
          <xdr:row>5</xdr:row>
          <xdr:rowOff>0</xdr:rowOff>
        </xdr:to>
        <xdr:sp macro="" textlink="">
          <xdr:nvSpPr>
            <xdr:cNvPr id="8203" name="Button 11" hidden="1">
              <a:extLst>
                <a:ext uri="{63B3BB69-23CF-44E3-9099-C40C66FF867C}">
                  <a14:compatExt spid="_x0000_s8203"/>
                </a:ext>
                <a:ext uri="{FF2B5EF4-FFF2-40B4-BE49-F238E27FC236}">
                  <a16:creationId xmlns:a16="http://schemas.microsoft.com/office/drawing/2014/main" id="{00000000-0008-0000-0700-00000B200000}"/>
                </a:ext>
              </a:extLst>
            </xdr:cNvPr>
            <xdr:cNvSpPr/>
          </xdr:nvSpPr>
          <xdr:spPr bwMode="auto">
            <a:xfrm>
              <a:off x="0" y="0"/>
              <a:ext cx="0" cy="0"/>
            </a:xfrm>
            <a:prstGeom prst="rect">
              <a:avLst/>
            </a:prstGeom>
            <a:noFill/>
            <a:ln w="9525">
              <a:miter lim="800000"/>
              <a:headEnd/>
              <a:tailEnd/>
            </a:ln>
          </xdr:spPr>
          <xdr:txBody>
            <a:bodyPr vertOverflow="clip" wrap="square" lIns="36576" tIns="27432" rIns="36576" bIns="27432" anchor="ctr" upright="1"/>
            <a:lstStyle/>
            <a:p>
              <a:pPr algn="ctr" rtl="0">
                <a:defRPr sz="1000"/>
              </a:pPr>
              <a:r>
                <a:rPr lang="en-US" sz="1000" b="0" i="0" u="none" strike="noStrike" baseline="0">
                  <a:solidFill>
                    <a:srgbClr val="000000"/>
                  </a:solidFill>
                  <a:latin typeface="Arial"/>
                  <a:cs typeface="Arial"/>
                </a:rPr>
                <a:t>Main Menu</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11</xdr:col>
          <xdr:colOff>0</xdr:colOff>
          <xdr:row>3</xdr:row>
          <xdr:rowOff>0</xdr:rowOff>
        </xdr:from>
        <xdr:to>
          <xdr:col>12</xdr:col>
          <xdr:colOff>0</xdr:colOff>
          <xdr:row>5</xdr:row>
          <xdr:rowOff>0</xdr:rowOff>
        </xdr:to>
        <xdr:sp macro="" textlink="">
          <xdr:nvSpPr>
            <xdr:cNvPr id="8205" name="Button 13" hidden="1">
              <a:extLst>
                <a:ext uri="{63B3BB69-23CF-44E3-9099-C40C66FF867C}">
                  <a14:compatExt spid="_x0000_s8205"/>
                </a:ext>
                <a:ext uri="{FF2B5EF4-FFF2-40B4-BE49-F238E27FC236}">
                  <a16:creationId xmlns:a16="http://schemas.microsoft.com/office/drawing/2014/main" id="{00000000-0008-0000-0700-00000D200000}"/>
                </a:ext>
              </a:extLst>
            </xdr:cNvPr>
            <xdr:cNvSpPr/>
          </xdr:nvSpPr>
          <xdr:spPr bwMode="auto">
            <a:xfrm>
              <a:off x="0" y="0"/>
              <a:ext cx="0" cy="0"/>
            </a:xfrm>
            <a:prstGeom prst="rect">
              <a:avLst/>
            </a:prstGeom>
            <a:noFill/>
            <a:ln w="9525">
              <a:miter lim="800000"/>
              <a:headEnd/>
              <a:tailEnd/>
            </a:ln>
          </xdr:spPr>
          <xdr:txBody>
            <a:bodyPr vertOverflow="clip" wrap="square" lIns="36576" tIns="27432" rIns="36576" bIns="27432" anchor="ctr" upright="1"/>
            <a:lstStyle/>
            <a:p>
              <a:pPr algn="ctr" rtl="0">
                <a:defRPr sz="1000"/>
              </a:pPr>
              <a:r>
                <a:rPr lang="en-US" sz="1000" b="0" i="0" u="none" strike="noStrike" baseline="0">
                  <a:solidFill>
                    <a:srgbClr val="000000"/>
                  </a:solidFill>
                  <a:latin typeface="Arial"/>
                  <a:cs typeface="Arial"/>
                </a:rPr>
                <a:t>Print</a:t>
              </a:r>
            </a:p>
          </xdr:txBody>
        </xdr:sp>
        <xdr:clientData fPrintsWithSheet="0"/>
      </xdr:twoCellAnchor>
    </mc:Choice>
    <mc:Fallback/>
  </mc:AlternateContent>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spDef>
    <a:ln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printerSettings" Target="../printerSettings/printerSettings2.bin"/><Relationship Id="rId7" Type="http://schemas.openxmlformats.org/officeDocument/2006/relationships/image" Target="../media/image5.emf"/><Relationship Id="rId2" Type="http://schemas.openxmlformats.org/officeDocument/2006/relationships/hyperlink" Target="http://www.farmdoc.uiuc.edu/fasttools/" TargetMode="External"/><Relationship Id="rId1" Type="http://schemas.openxmlformats.org/officeDocument/2006/relationships/hyperlink" Target="http://www.farmdoc.uiuc.edu/fasttools/" TargetMode="External"/><Relationship Id="rId6" Type="http://schemas.openxmlformats.org/officeDocument/2006/relationships/control" Target="../activeX/activeX1.xml"/><Relationship Id="rId5" Type="http://schemas.openxmlformats.org/officeDocument/2006/relationships/vmlDrawing" Target="../drawings/vmlDrawing1.vml"/><Relationship Id="rId4"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3" Type="http://schemas.openxmlformats.org/officeDocument/2006/relationships/vmlDrawing" Target="../drawings/vmlDrawing2.vml"/><Relationship Id="rId2" Type="http://schemas.openxmlformats.org/officeDocument/2006/relationships/drawing" Target="../drawings/drawing3.xml"/><Relationship Id="rId1" Type="http://schemas.openxmlformats.org/officeDocument/2006/relationships/printerSettings" Target="../printerSettings/printerSettings3.bin"/><Relationship Id="rId6" Type="http://schemas.openxmlformats.org/officeDocument/2006/relationships/ctrlProp" Target="../ctrlProps/ctrlProp3.xml"/><Relationship Id="rId5" Type="http://schemas.openxmlformats.org/officeDocument/2006/relationships/ctrlProp" Target="../ctrlProps/ctrlProp2.xml"/><Relationship Id="rId4" Type="http://schemas.openxmlformats.org/officeDocument/2006/relationships/ctrlProp" Target="../ctrlProps/ctrlProp1.xml"/></Relationships>
</file>

<file path=xl/worksheets/_rels/sheet4.xml.rels><?xml version="1.0" encoding="UTF-8" standalone="yes"?>
<Relationships xmlns="http://schemas.openxmlformats.org/package/2006/relationships"><Relationship Id="rId8" Type="http://schemas.openxmlformats.org/officeDocument/2006/relationships/ctrlProp" Target="../ctrlProps/ctrlProp8.xml"/><Relationship Id="rId3" Type="http://schemas.openxmlformats.org/officeDocument/2006/relationships/vmlDrawing" Target="../drawings/vmlDrawing3.vml"/><Relationship Id="rId7" Type="http://schemas.openxmlformats.org/officeDocument/2006/relationships/ctrlProp" Target="../ctrlProps/ctrlProp7.xml"/><Relationship Id="rId2" Type="http://schemas.openxmlformats.org/officeDocument/2006/relationships/drawing" Target="../drawings/drawing4.xml"/><Relationship Id="rId1" Type="http://schemas.openxmlformats.org/officeDocument/2006/relationships/printerSettings" Target="../printerSettings/printerSettings4.bin"/><Relationship Id="rId6" Type="http://schemas.openxmlformats.org/officeDocument/2006/relationships/ctrlProp" Target="../ctrlProps/ctrlProp6.xml"/><Relationship Id="rId5" Type="http://schemas.openxmlformats.org/officeDocument/2006/relationships/ctrlProp" Target="../ctrlProps/ctrlProp5.xml"/><Relationship Id="rId10" Type="http://schemas.openxmlformats.org/officeDocument/2006/relationships/ctrlProp" Target="../ctrlProps/ctrlProp10.xml"/><Relationship Id="rId4" Type="http://schemas.openxmlformats.org/officeDocument/2006/relationships/ctrlProp" Target="../ctrlProps/ctrlProp4.xml"/><Relationship Id="rId9" Type="http://schemas.openxmlformats.org/officeDocument/2006/relationships/ctrlProp" Target="../ctrlProps/ctrlProp9.xml"/></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8" Type="http://schemas.openxmlformats.org/officeDocument/2006/relationships/ctrlProp" Target="../ctrlProps/ctrlProp15.xml"/><Relationship Id="rId3" Type="http://schemas.openxmlformats.org/officeDocument/2006/relationships/vmlDrawing" Target="../drawings/vmlDrawing4.vml"/><Relationship Id="rId7" Type="http://schemas.openxmlformats.org/officeDocument/2006/relationships/ctrlProp" Target="../ctrlProps/ctrlProp14.xml"/><Relationship Id="rId2" Type="http://schemas.openxmlformats.org/officeDocument/2006/relationships/drawing" Target="../drawings/drawing5.xml"/><Relationship Id="rId1" Type="http://schemas.openxmlformats.org/officeDocument/2006/relationships/printerSettings" Target="../printerSettings/printerSettings6.bin"/><Relationship Id="rId6" Type="http://schemas.openxmlformats.org/officeDocument/2006/relationships/ctrlProp" Target="../ctrlProps/ctrlProp13.xml"/><Relationship Id="rId5" Type="http://schemas.openxmlformats.org/officeDocument/2006/relationships/ctrlProp" Target="../ctrlProps/ctrlProp12.xml"/><Relationship Id="rId4" Type="http://schemas.openxmlformats.org/officeDocument/2006/relationships/ctrlProp" Target="../ctrlProps/ctrlProp11.xml"/></Relationships>
</file>

<file path=xl/worksheets/_rels/sheet7.xml.rels><?xml version="1.0" encoding="UTF-8" standalone="yes"?>
<Relationships xmlns="http://schemas.openxmlformats.org/package/2006/relationships"><Relationship Id="rId8" Type="http://schemas.openxmlformats.org/officeDocument/2006/relationships/ctrlProp" Target="../ctrlProps/ctrlProp16.xml"/><Relationship Id="rId3" Type="http://schemas.openxmlformats.org/officeDocument/2006/relationships/vmlDrawing" Target="../drawings/vmlDrawing5.vml"/><Relationship Id="rId7" Type="http://schemas.openxmlformats.org/officeDocument/2006/relationships/image" Target="../media/image10.emf"/><Relationship Id="rId12" Type="http://schemas.openxmlformats.org/officeDocument/2006/relationships/ctrlProp" Target="../ctrlProps/ctrlProp20.xml"/><Relationship Id="rId2" Type="http://schemas.openxmlformats.org/officeDocument/2006/relationships/drawing" Target="../drawings/drawing6.xml"/><Relationship Id="rId1" Type="http://schemas.openxmlformats.org/officeDocument/2006/relationships/printerSettings" Target="../printerSettings/printerSettings7.bin"/><Relationship Id="rId6" Type="http://schemas.openxmlformats.org/officeDocument/2006/relationships/control" Target="../activeX/activeX3.xml"/><Relationship Id="rId11" Type="http://schemas.openxmlformats.org/officeDocument/2006/relationships/ctrlProp" Target="../ctrlProps/ctrlProp19.xml"/><Relationship Id="rId5" Type="http://schemas.openxmlformats.org/officeDocument/2006/relationships/image" Target="../media/image9.emf"/><Relationship Id="rId10" Type="http://schemas.openxmlformats.org/officeDocument/2006/relationships/ctrlProp" Target="../ctrlProps/ctrlProp18.xml"/><Relationship Id="rId4" Type="http://schemas.openxmlformats.org/officeDocument/2006/relationships/control" Target="../activeX/activeX2.xml"/><Relationship Id="rId9" Type="http://schemas.openxmlformats.org/officeDocument/2006/relationships/ctrlProp" Target="../ctrlProps/ctrlProp17.xml"/></Relationships>
</file>

<file path=xl/worksheets/_rels/sheet8.xml.rels><?xml version="1.0" encoding="UTF-8" standalone="yes"?>
<Relationships xmlns="http://schemas.openxmlformats.org/package/2006/relationships"><Relationship Id="rId3" Type="http://schemas.openxmlformats.org/officeDocument/2006/relationships/vmlDrawing" Target="../drawings/vmlDrawing6.vml"/><Relationship Id="rId2" Type="http://schemas.openxmlformats.org/officeDocument/2006/relationships/drawing" Target="../drawings/drawing7.xml"/><Relationship Id="rId1" Type="http://schemas.openxmlformats.org/officeDocument/2006/relationships/printerSettings" Target="../printerSettings/printerSettings8.bin"/><Relationship Id="rId5" Type="http://schemas.openxmlformats.org/officeDocument/2006/relationships/ctrlProp" Target="../ctrlProps/ctrlProp22.xml"/><Relationship Id="rId4" Type="http://schemas.openxmlformats.org/officeDocument/2006/relationships/ctrlProp" Target="../ctrlProps/ctrlProp2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7"/>
  <dimension ref="C3:D73"/>
  <sheetViews>
    <sheetView showGridLines="0" showRowColHeaders="0" tabSelected="1" workbookViewId="0"/>
  </sheetViews>
  <sheetFormatPr defaultRowHeight="12.5"/>
  <cols>
    <col min="1" max="2" width="2.6328125" customWidth="1"/>
  </cols>
  <sheetData>
    <row r="3" spans="3:3" ht="18">
      <c r="C3" s="124" t="s">
        <v>295</v>
      </c>
    </row>
    <row r="5" spans="3:3">
      <c r="C5" t="s">
        <v>296</v>
      </c>
    </row>
    <row r="6" spans="3:3">
      <c r="C6" t="s">
        <v>297</v>
      </c>
    </row>
    <row r="7" spans="3:3">
      <c r="C7" t="s">
        <v>298</v>
      </c>
    </row>
    <row r="9" spans="3:3">
      <c r="C9" t="s">
        <v>299</v>
      </c>
    </row>
    <row r="10" spans="3:3">
      <c r="C10" t="s">
        <v>300</v>
      </c>
    </row>
    <row r="14" spans="3:3" ht="409.5" customHeight="1"/>
    <row r="15" spans="3:3" ht="409.5" customHeight="1"/>
    <row r="16" spans="3:3" ht="409.5" customHeight="1"/>
    <row r="17" spans="3:4" s="235" customFormat="1" ht="40.5" customHeight="1">
      <c r="C17" s="234" t="s">
        <v>301</v>
      </c>
    </row>
    <row r="18" spans="3:4">
      <c r="C18" t="s">
        <v>163</v>
      </c>
    </row>
    <row r="19" spans="3:4">
      <c r="C19" t="s">
        <v>164</v>
      </c>
    </row>
    <row r="20" spans="3:4">
      <c r="C20" t="s">
        <v>165</v>
      </c>
    </row>
    <row r="22" spans="3:4" ht="13">
      <c r="C22" s="125" t="s">
        <v>166</v>
      </c>
    </row>
    <row r="23" spans="3:4">
      <c r="D23" s="236" t="s">
        <v>175</v>
      </c>
    </row>
    <row r="24" spans="3:4">
      <c r="D24" s="236" t="s">
        <v>176</v>
      </c>
    </row>
    <row r="25" spans="3:4">
      <c r="D25" s="236" t="s">
        <v>177</v>
      </c>
    </row>
    <row r="26" spans="3:4">
      <c r="D26" s="236" t="s">
        <v>178</v>
      </c>
    </row>
    <row r="27" spans="3:4">
      <c r="D27" s="126"/>
    </row>
    <row r="28" spans="3:4" ht="13">
      <c r="C28" s="125" t="s">
        <v>167</v>
      </c>
    </row>
    <row r="29" spans="3:4">
      <c r="D29" s="236" t="s">
        <v>179</v>
      </c>
    </row>
    <row r="30" spans="3:4">
      <c r="D30" s="236" t="s">
        <v>180</v>
      </c>
    </row>
    <row r="31" spans="3:4">
      <c r="D31" s="71" t="s">
        <v>168</v>
      </c>
    </row>
    <row r="33" spans="3:4" ht="13">
      <c r="C33" s="125" t="s">
        <v>169</v>
      </c>
    </row>
    <row r="34" spans="3:4">
      <c r="D34" s="236" t="s">
        <v>179</v>
      </c>
    </row>
    <row r="35" spans="3:4">
      <c r="D35" s="236" t="s">
        <v>181</v>
      </c>
    </row>
    <row r="36" spans="3:4">
      <c r="D36" s="71" t="s">
        <v>170</v>
      </c>
    </row>
    <row r="37" spans="3:4">
      <c r="D37" s="71"/>
    </row>
    <row r="38" spans="3:4" ht="13">
      <c r="C38" s="125" t="s">
        <v>171</v>
      </c>
    </row>
    <row r="57" spans="3:3" ht="409.5" customHeight="1"/>
    <row r="58" spans="3:3" ht="409.5" customHeight="1"/>
    <row r="59" spans="3:3" ht="409.5" customHeight="1"/>
    <row r="60" spans="3:3" ht="40.5" customHeight="1">
      <c r="C60" s="234" t="s">
        <v>302</v>
      </c>
    </row>
    <row r="61" spans="3:3">
      <c r="C61" t="s">
        <v>303</v>
      </c>
    </row>
    <row r="62" spans="3:3">
      <c r="C62" t="s">
        <v>304</v>
      </c>
    </row>
    <row r="63" spans="3:3">
      <c r="C63" t="s">
        <v>305</v>
      </c>
    </row>
    <row r="64" spans="3:3">
      <c r="C64" t="s">
        <v>306</v>
      </c>
    </row>
    <row r="66" spans="3:3" ht="13">
      <c r="C66" s="125" t="s">
        <v>307</v>
      </c>
    </row>
    <row r="72" spans="3:3" ht="13">
      <c r="C72" s="125" t="s">
        <v>308</v>
      </c>
    </row>
    <row r="73" spans="3:3" ht="13">
      <c r="C73" s="125" t="s">
        <v>309</v>
      </c>
    </row>
  </sheetData>
  <sheetProtection algorithmName="SHA-512" hashValue="8DsTybBrwE6L0ycmnGVBybOLg/5wffIpjEmCbI0VWQ6tlfJhH2DMbBuAo3tSM3SSOc3QdJ7N0LF2d/Hr8TmGmA==" saltValue="o4rgsFzPI5I69GRzeWgBpQ==" spinCount="100000" sheet="1" objects="1" scenarios="1"/>
  <phoneticPr fontId="13" type="noConversion"/>
  <pageMargins left="0.75" right="0.75" top="1" bottom="1" header="0.5" footer="0.5"/>
  <pageSetup orientation="portrait" r:id="rId1"/>
  <headerFooter alignWithMargins="0"/>
  <drawing r:id="rId2"/>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9"/>
  <dimension ref="A1:T54"/>
  <sheetViews>
    <sheetView showGridLines="0" showRowColHeaders="0" zoomScaleNormal="100" workbookViewId="0"/>
  </sheetViews>
  <sheetFormatPr defaultColWidth="9.08984375" defaultRowHeight="12.75" customHeight="1"/>
  <cols>
    <col min="1" max="2" width="0.90625" style="127" customWidth="1"/>
    <col min="3" max="3" width="1.54296875" style="127" customWidth="1"/>
    <col min="4" max="4" width="5.6328125" style="127" customWidth="1"/>
    <col min="5" max="5" width="20.6328125" style="127" customWidth="1"/>
    <col min="6" max="11" width="10.36328125" style="127" customWidth="1"/>
    <col min="12" max="12" width="16.6328125" style="127" customWidth="1"/>
    <col min="13" max="13" width="4.6328125" style="127" customWidth="1"/>
    <col min="14" max="14" width="1.6328125" style="127" customWidth="1"/>
    <col min="15" max="15" width="11.453125" style="127" bestFit="1" customWidth="1"/>
    <col min="16" max="16" width="14.08984375" style="127" bestFit="1" customWidth="1"/>
    <col min="17" max="27" width="9.08984375" style="127"/>
    <col min="28" max="28" width="2.54296875" style="127" customWidth="1"/>
    <col min="29" max="29" width="2.453125" style="127" customWidth="1"/>
    <col min="30" max="16384" width="9.08984375" style="127"/>
  </cols>
  <sheetData>
    <row r="1" spans="1:20" ht="5.15" customHeight="1"/>
    <row r="2" spans="1:20" ht="9" customHeight="1">
      <c r="A2" s="22"/>
      <c r="C2" s="128"/>
      <c r="D2" s="128"/>
      <c r="E2" s="128"/>
      <c r="F2" s="128"/>
      <c r="G2" s="128"/>
      <c r="H2" s="128"/>
      <c r="I2" s="128"/>
      <c r="J2" s="128"/>
      <c r="K2" s="128"/>
      <c r="L2" s="128"/>
      <c r="M2" s="128"/>
      <c r="N2" s="128"/>
      <c r="O2" s="22"/>
      <c r="P2" s="22"/>
      <c r="Q2" s="22"/>
      <c r="R2" s="22"/>
      <c r="S2" s="22"/>
      <c r="T2" s="22"/>
    </row>
    <row r="3" spans="1:20" ht="9" customHeight="1">
      <c r="A3" s="22"/>
      <c r="C3" s="129"/>
      <c r="D3" s="22"/>
      <c r="E3" s="22"/>
      <c r="F3" s="22"/>
      <c r="G3" s="22"/>
      <c r="H3" s="22"/>
      <c r="J3" s="22"/>
      <c r="K3" s="22"/>
      <c r="L3" s="22"/>
      <c r="M3" s="22"/>
      <c r="N3" s="128"/>
      <c r="O3" s="22"/>
      <c r="P3" s="22"/>
      <c r="Q3" s="22"/>
      <c r="R3" s="22"/>
      <c r="S3" s="22"/>
      <c r="T3" s="22"/>
    </row>
    <row r="4" spans="1:20" ht="34.5" customHeight="1">
      <c r="A4" s="22"/>
      <c r="C4" s="129"/>
      <c r="D4" s="22"/>
      <c r="E4" s="22"/>
      <c r="F4" s="269" t="s">
        <v>182</v>
      </c>
      <c r="G4" s="270"/>
      <c r="H4" s="270"/>
      <c r="I4" s="270"/>
      <c r="J4" s="270"/>
      <c r="K4" s="271"/>
      <c r="L4" s="264" t="s">
        <v>472</v>
      </c>
      <c r="M4" s="22"/>
      <c r="N4" s="128"/>
      <c r="O4" s="22"/>
      <c r="P4" s="22"/>
      <c r="Q4" s="22"/>
      <c r="R4" s="22"/>
      <c r="S4" s="22"/>
      <c r="T4" s="22"/>
    </row>
    <row r="5" spans="1:20" ht="18.75" customHeight="1">
      <c r="A5" s="22"/>
      <c r="C5" s="129"/>
      <c r="D5" s="22"/>
      <c r="E5" s="22"/>
      <c r="F5" s="272"/>
      <c r="G5" s="273"/>
      <c r="H5" s="273"/>
      <c r="I5" s="273"/>
      <c r="J5" s="273"/>
      <c r="K5" s="274"/>
      <c r="L5" s="264"/>
      <c r="M5" s="22"/>
      <c r="N5" s="128"/>
      <c r="O5" s="22"/>
      <c r="P5" s="22"/>
      <c r="Q5" s="22"/>
      <c r="R5" s="22"/>
      <c r="S5" s="22"/>
      <c r="T5" s="22"/>
    </row>
    <row r="6" spans="1:20" ht="9" customHeight="1" thickBot="1">
      <c r="A6" s="22"/>
      <c r="C6" s="129"/>
      <c r="D6" s="22"/>
      <c r="E6" s="22"/>
      <c r="F6" s="275"/>
      <c r="G6" s="276"/>
      <c r="H6" s="276"/>
      <c r="I6" s="276"/>
      <c r="J6" s="276"/>
      <c r="K6" s="277"/>
      <c r="L6" s="264"/>
      <c r="M6" s="22"/>
      <c r="N6" s="128"/>
      <c r="O6" s="22"/>
      <c r="P6" s="22"/>
      <c r="Q6" s="22"/>
      <c r="R6" s="22"/>
      <c r="S6" s="22"/>
      <c r="T6" s="22"/>
    </row>
    <row r="7" spans="1:20" ht="10.5" customHeight="1" thickTop="1">
      <c r="A7" s="22"/>
      <c r="C7" s="129"/>
      <c r="D7" s="22"/>
      <c r="E7" s="22"/>
      <c r="F7" s="22"/>
      <c r="G7" s="22"/>
      <c r="H7" s="22"/>
      <c r="I7" s="22"/>
      <c r="J7" s="22"/>
      <c r="K7" s="22"/>
      <c r="L7" s="22"/>
      <c r="M7" s="22"/>
      <c r="N7" s="128"/>
      <c r="O7" s="263"/>
      <c r="P7" s="22"/>
      <c r="Q7" s="22"/>
      <c r="R7" s="22"/>
      <c r="S7" s="22"/>
      <c r="T7" s="22"/>
    </row>
    <row r="8" spans="1:20" ht="9.75" customHeight="1">
      <c r="A8" s="22"/>
      <c r="C8" s="129"/>
      <c r="D8" s="22"/>
      <c r="E8" s="22"/>
      <c r="F8" s="22"/>
      <c r="G8" s="22"/>
      <c r="H8" s="22"/>
      <c r="I8" s="22"/>
      <c r="J8" s="22"/>
      <c r="K8" s="22"/>
      <c r="L8" s="22"/>
      <c r="M8" s="22"/>
      <c r="N8" s="128"/>
      <c r="O8" s="263"/>
      <c r="P8" s="22"/>
      <c r="Q8" s="22"/>
      <c r="R8" s="22"/>
      <c r="S8" s="22"/>
      <c r="T8" s="22"/>
    </row>
    <row r="9" spans="1:20" ht="12" customHeight="1">
      <c r="A9" s="22"/>
      <c r="C9" s="129"/>
      <c r="D9" s="131"/>
      <c r="E9" s="132"/>
      <c r="F9" s="133"/>
      <c r="G9" s="278"/>
      <c r="H9" s="279"/>
      <c r="I9" s="279"/>
      <c r="J9" s="279"/>
      <c r="K9" s="133"/>
      <c r="L9" s="133"/>
      <c r="M9" s="22"/>
      <c r="N9" s="128"/>
      <c r="O9" s="263"/>
      <c r="P9" s="22"/>
      <c r="Q9" s="22"/>
      <c r="R9" s="22"/>
      <c r="S9" s="22"/>
      <c r="T9" s="22"/>
    </row>
    <row r="10" spans="1:20" ht="12" customHeight="1">
      <c r="A10" s="22"/>
      <c r="C10" s="129"/>
      <c r="D10" s="131"/>
      <c r="E10" s="133"/>
      <c r="F10" s="133"/>
      <c r="G10" s="279"/>
      <c r="H10" s="279"/>
      <c r="I10" s="279"/>
      <c r="J10" s="279"/>
      <c r="K10" s="133"/>
      <c r="L10" s="133"/>
      <c r="M10" s="22"/>
      <c r="N10" s="128"/>
      <c r="O10" s="263"/>
      <c r="P10" s="22"/>
      <c r="Q10" s="22"/>
      <c r="R10" s="22"/>
      <c r="S10" s="22"/>
      <c r="T10" s="22"/>
    </row>
    <row r="11" spans="1:20" ht="12" customHeight="1">
      <c r="A11" s="22"/>
      <c r="C11" s="129"/>
      <c r="D11" s="131"/>
      <c r="E11" s="133"/>
      <c r="F11" s="133"/>
      <c r="G11" s="279"/>
      <c r="H11" s="279"/>
      <c r="I11" s="279"/>
      <c r="J11" s="279"/>
      <c r="K11" s="133"/>
      <c r="L11" s="133"/>
      <c r="M11" s="22"/>
      <c r="N11" s="128"/>
      <c r="O11" s="22"/>
      <c r="P11" s="22"/>
      <c r="Q11" s="22"/>
      <c r="R11" s="22"/>
      <c r="S11" s="22"/>
      <c r="T11" s="22"/>
    </row>
    <row r="12" spans="1:20" ht="13">
      <c r="A12" s="22"/>
      <c r="C12" s="129"/>
      <c r="D12" s="131"/>
      <c r="E12" s="133"/>
      <c r="F12" s="133"/>
      <c r="G12" s="279"/>
      <c r="H12" s="279"/>
      <c r="I12" s="279"/>
      <c r="J12" s="279"/>
      <c r="K12" s="133"/>
      <c r="L12" s="133"/>
      <c r="M12" s="22"/>
      <c r="N12" s="128"/>
      <c r="O12" s="22"/>
      <c r="P12" s="22"/>
      <c r="Q12" s="22"/>
      <c r="R12" s="22"/>
      <c r="S12" s="22"/>
      <c r="T12" s="22"/>
    </row>
    <row r="13" spans="1:20" ht="12" customHeight="1">
      <c r="A13" s="22"/>
      <c r="C13" s="129"/>
      <c r="D13" s="131"/>
      <c r="E13" s="133"/>
      <c r="F13" s="133"/>
      <c r="G13" s="279"/>
      <c r="H13" s="279"/>
      <c r="I13" s="279"/>
      <c r="J13" s="279"/>
      <c r="K13" s="133"/>
      <c r="L13" s="133"/>
      <c r="M13" s="22"/>
      <c r="N13" s="128"/>
      <c r="P13" s="134" t="b">
        <f ca="1">ISERR(Macros)</f>
        <v>1</v>
      </c>
      <c r="Q13" s="22"/>
      <c r="R13" s="22"/>
      <c r="S13" s="22"/>
      <c r="T13" s="22"/>
    </row>
    <row r="14" spans="1:20" ht="12" hidden="1" customHeight="1">
      <c r="A14" s="22"/>
      <c r="C14" s="129"/>
      <c r="D14" s="131"/>
      <c r="E14" s="133"/>
      <c r="F14" s="133"/>
      <c r="G14" s="133"/>
      <c r="H14" s="133"/>
      <c r="I14" s="133"/>
      <c r="J14" s="133"/>
      <c r="K14" s="133"/>
      <c r="L14" s="133"/>
      <c r="M14" s="22"/>
      <c r="N14" s="128"/>
      <c r="P14" s="134"/>
      <c r="Q14" s="22"/>
      <c r="R14" s="22"/>
      <c r="S14" s="22"/>
      <c r="T14" s="22"/>
    </row>
    <row r="15" spans="1:20" ht="2.25" customHeight="1">
      <c r="A15" s="22"/>
      <c r="C15" s="129"/>
      <c r="D15" s="131"/>
      <c r="E15" s="135"/>
      <c r="F15" s="135"/>
      <c r="G15" s="135"/>
      <c r="H15" s="135"/>
      <c r="I15" s="135"/>
      <c r="J15" s="135"/>
      <c r="K15" s="135"/>
      <c r="L15" s="135"/>
      <c r="M15" s="22"/>
      <c r="N15" s="128"/>
      <c r="P15" s="134"/>
      <c r="Q15" s="22"/>
      <c r="R15" s="22"/>
      <c r="S15" s="22"/>
      <c r="T15" s="22"/>
    </row>
    <row r="16" spans="1:20" ht="15.75" customHeight="1" thickBot="1">
      <c r="A16" s="22"/>
      <c r="C16" s="129"/>
      <c r="D16" s="136"/>
      <c r="E16" s="137"/>
      <c r="F16" s="136"/>
      <c r="G16" s="137"/>
      <c r="H16" s="137"/>
      <c r="I16" s="137"/>
      <c r="J16" s="137"/>
      <c r="K16" s="137"/>
      <c r="L16" s="137"/>
      <c r="M16" s="136"/>
      <c r="N16" s="128"/>
      <c r="P16" s="134">
        <f ca="1">RAND()</f>
        <v>0.32265097026908029</v>
      </c>
      <c r="Q16" s="22"/>
      <c r="R16" s="22"/>
      <c r="S16" s="22"/>
      <c r="T16" s="22"/>
    </row>
    <row r="17" spans="1:20" ht="18.75" customHeight="1">
      <c r="A17" s="22"/>
      <c r="C17" s="129"/>
      <c r="D17" s="131"/>
      <c r="E17" s="138" t="s">
        <v>172</v>
      </c>
      <c r="F17" s="138"/>
      <c r="G17" s="138"/>
      <c r="H17" s="138"/>
      <c r="I17" s="138"/>
      <c r="J17" s="138"/>
      <c r="K17" s="233" t="s">
        <v>294</v>
      </c>
      <c r="L17" s="139"/>
      <c r="M17" s="22"/>
      <c r="N17" s="128"/>
      <c r="O17" s="22"/>
      <c r="P17" s="22"/>
      <c r="Q17" s="22"/>
      <c r="R17" s="22"/>
      <c r="S17" s="22"/>
      <c r="T17" s="22"/>
    </row>
    <row r="18" spans="1:20" ht="11.15" customHeight="1">
      <c r="A18" s="22"/>
      <c r="C18" s="129"/>
      <c r="D18" s="131"/>
      <c r="E18" s="140" t="s">
        <v>173</v>
      </c>
      <c r="F18" s="140"/>
      <c r="G18" s="140"/>
      <c r="H18" s="140"/>
      <c r="I18" s="140"/>
      <c r="J18" s="140"/>
      <c r="K18" s="140"/>
      <c r="L18" s="139"/>
      <c r="M18" s="22"/>
      <c r="N18" s="128"/>
      <c r="O18" s="22"/>
      <c r="P18" s="22"/>
      <c r="Q18" s="22"/>
      <c r="R18" s="22"/>
      <c r="S18" s="22"/>
      <c r="T18" s="22"/>
    </row>
    <row r="19" spans="1:20" ht="11.15" customHeight="1">
      <c r="A19" s="22"/>
      <c r="C19" s="129"/>
      <c r="D19" s="131"/>
      <c r="E19" s="141"/>
      <c r="F19" s="142"/>
      <c r="G19" s="265"/>
      <c r="H19" s="266"/>
      <c r="I19" s="266"/>
      <c r="J19" s="266"/>
      <c r="K19" s="139"/>
      <c r="L19" s="139"/>
      <c r="M19" s="22"/>
      <c r="N19" s="128"/>
      <c r="O19" s="22"/>
      <c r="P19" s="22"/>
      <c r="Q19" s="22"/>
      <c r="R19" s="22"/>
      <c r="S19" s="22"/>
      <c r="T19" s="22"/>
    </row>
    <row r="20" spans="1:20" ht="11.15" customHeight="1">
      <c r="A20" s="22"/>
      <c r="C20" s="129"/>
      <c r="D20" s="131"/>
      <c r="E20"/>
      <c r="F20" s="142"/>
      <c r="G20" s="266"/>
      <c r="H20" s="266"/>
      <c r="I20" s="266"/>
      <c r="J20" s="266"/>
      <c r="K20" s="139"/>
      <c r="L20" s="139"/>
      <c r="M20" s="22"/>
      <c r="N20" s="128"/>
      <c r="O20" s="22"/>
      <c r="P20" s="22"/>
      <c r="Q20" s="22"/>
      <c r="R20" s="22"/>
      <c r="S20" s="22"/>
      <c r="T20" s="22"/>
    </row>
    <row r="21" spans="1:20" ht="38.25" customHeight="1">
      <c r="A21" s="22"/>
      <c r="C21" s="129"/>
      <c r="D21" s="131"/>
      <c r="E21" s="142"/>
      <c r="F21" s="142"/>
      <c r="G21" s="266"/>
      <c r="H21" s="266"/>
      <c r="I21" s="266"/>
      <c r="J21" s="266"/>
      <c r="K21" s="139"/>
      <c r="L21" s="139"/>
      <c r="M21" s="22"/>
      <c r="N21" s="128"/>
      <c r="O21" s="22"/>
      <c r="P21" s="143"/>
      <c r="Q21" s="22"/>
      <c r="R21" s="22"/>
      <c r="S21" s="22"/>
      <c r="T21" s="22"/>
    </row>
    <row r="22" spans="1:20" ht="16.5" hidden="1" customHeight="1">
      <c r="A22" s="22"/>
      <c r="C22" s="129"/>
      <c r="D22" s="131"/>
      <c r="F22" s="139"/>
      <c r="G22" s="266"/>
      <c r="H22" s="266"/>
      <c r="I22" s="266"/>
      <c r="J22" s="266"/>
      <c r="K22" s="139"/>
      <c r="L22" s="280"/>
      <c r="M22" s="280"/>
      <c r="N22" s="128"/>
      <c r="O22" s="22"/>
      <c r="P22" s="22"/>
      <c r="Q22" s="22"/>
      <c r="R22" s="22"/>
      <c r="S22" s="22"/>
      <c r="T22" s="22"/>
    </row>
    <row r="23" spans="1:20" ht="11.15" hidden="1" customHeight="1">
      <c r="A23" s="22"/>
      <c r="C23" s="129"/>
      <c r="D23" s="131"/>
      <c r="F23" s="144"/>
      <c r="G23" s="266"/>
      <c r="H23" s="266"/>
      <c r="I23" s="266"/>
      <c r="J23" s="266"/>
      <c r="K23" s="139"/>
      <c r="L23" s="280"/>
      <c r="M23" s="280"/>
      <c r="N23" s="128"/>
      <c r="O23" s="22"/>
      <c r="P23" s="22"/>
      <c r="Q23" s="22"/>
      <c r="R23" s="22"/>
      <c r="S23" s="22"/>
      <c r="T23" s="22"/>
    </row>
    <row r="24" spans="1:20" ht="6" customHeight="1" thickBot="1">
      <c r="A24" s="22"/>
      <c r="C24" s="129"/>
      <c r="D24" s="136"/>
      <c r="E24" s="137"/>
      <c r="F24" s="136"/>
      <c r="G24" s="145"/>
      <c r="H24" s="145"/>
      <c r="I24" s="145"/>
      <c r="J24" s="145"/>
      <c r="K24" s="137"/>
      <c r="L24" s="136"/>
      <c r="M24" s="136"/>
      <c r="N24" s="128"/>
      <c r="O24" s="22"/>
      <c r="P24" s="22"/>
      <c r="Q24" s="22"/>
      <c r="R24" s="22"/>
      <c r="S24" s="22"/>
      <c r="T24" s="22"/>
    </row>
    <row r="25" spans="1:20" ht="6" customHeight="1">
      <c r="A25" s="22"/>
      <c r="C25" s="129"/>
      <c r="D25" s="22"/>
      <c r="E25" s="144"/>
      <c r="F25" s="139"/>
      <c r="G25" s="135"/>
      <c r="H25" s="135"/>
      <c r="I25" s="135"/>
      <c r="J25" s="135"/>
      <c r="K25" s="139"/>
      <c r="L25" s="139"/>
      <c r="M25" s="22"/>
      <c r="N25" s="128"/>
      <c r="O25" s="22"/>
      <c r="P25" s="22"/>
      <c r="Q25" s="22"/>
      <c r="R25" s="22"/>
      <c r="S25" s="22"/>
      <c r="T25" s="22"/>
    </row>
    <row r="26" spans="1:20" ht="11.15" customHeight="1">
      <c r="A26" s="22"/>
      <c r="C26" s="129"/>
      <c r="D26" s="22"/>
      <c r="E26" s="142"/>
      <c r="F26" s="139"/>
      <c r="G26" s="139"/>
      <c r="H26" s="139"/>
      <c r="I26" s="139"/>
      <c r="J26" s="139"/>
      <c r="K26" s="139"/>
      <c r="L26" s="139"/>
      <c r="M26" s="22"/>
      <c r="N26" s="128"/>
      <c r="O26" s="22"/>
      <c r="P26" s="22"/>
      <c r="Q26" s="22"/>
      <c r="R26" s="22"/>
      <c r="S26" s="22"/>
      <c r="T26" s="22"/>
    </row>
    <row r="27" spans="1:20" ht="11.15" customHeight="1">
      <c r="A27" s="22"/>
      <c r="C27" s="129"/>
      <c r="D27" s="22"/>
      <c r="E27" s="146" t="e">
        <f ca="1">macroCheck(1)*P16</f>
        <v>#NAME?</v>
      </c>
      <c r="F27" s="22"/>
      <c r="L27" s="22"/>
      <c r="M27" s="22"/>
      <c r="N27" s="128"/>
      <c r="O27" s="22"/>
      <c r="P27" s="22"/>
      <c r="Q27" s="22"/>
      <c r="R27" s="22"/>
      <c r="S27" s="22"/>
      <c r="T27" s="22"/>
    </row>
    <row r="28" spans="1:20" ht="11.15" customHeight="1">
      <c r="A28" s="22"/>
      <c r="C28" s="129"/>
      <c r="D28" s="22"/>
      <c r="E28" s="142"/>
      <c r="F28" s="142"/>
      <c r="G28" s="142"/>
      <c r="H28" s="142"/>
      <c r="I28" s="142"/>
      <c r="J28" s="142"/>
      <c r="K28" s="142"/>
      <c r="L28" s="142"/>
      <c r="M28" s="22"/>
      <c r="N28" s="128"/>
      <c r="O28" s="22"/>
      <c r="P28" s="22"/>
      <c r="Q28" s="22"/>
      <c r="R28" s="22"/>
      <c r="S28" s="22"/>
      <c r="T28" s="22"/>
    </row>
    <row r="29" spans="1:20" ht="11.15" customHeight="1">
      <c r="A29" s="22"/>
      <c r="C29" s="129"/>
      <c r="D29" s="22"/>
      <c r="E29" s="142"/>
      <c r="F29" s="142"/>
      <c r="G29" s="142"/>
      <c r="H29" s="142"/>
      <c r="I29" s="142"/>
      <c r="J29" s="142"/>
      <c r="K29" s="142"/>
      <c r="L29" s="142"/>
      <c r="M29" s="22"/>
      <c r="N29" s="128"/>
      <c r="O29" s="22"/>
      <c r="P29" s="22"/>
      <c r="Q29" s="22"/>
      <c r="R29" s="22"/>
      <c r="S29" s="22"/>
      <c r="T29" s="22"/>
    </row>
    <row r="30" spans="1:20" ht="13">
      <c r="A30" s="22"/>
      <c r="C30" s="129"/>
      <c r="D30" s="142"/>
      <c r="E30" s="142"/>
      <c r="F30" s="142"/>
      <c r="G30" s="142"/>
      <c r="H30" s="142"/>
      <c r="I30" s="142"/>
      <c r="J30" s="142"/>
      <c r="K30" s="142"/>
      <c r="L30" s="142"/>
      <c r="M30" s="22"/>
      <c r="N30" s="128"/>
      <c r="O30" s="22"/>
      <c r="P30" s="22"/>
      <c r="Q30" s="22"/>
      <c r="R30" s="22"/>
      <c r="S30" s="22"/>
      <c r="T30" s="22"/>
    </row>
    <row r="31" spans="1:20" ht="13">
      <c r="A31" s="22"/>
      <c r="C31" s="129"/>
      <c r="D31" s="22"/>
      <c r="E31" s="22"/>
      <c r="F31" s="22"/>
      <c r="G31" s="22"/>
      <c r="H31" s="22"/>
      <c r="I31" s="22"/>
      <c r="J31" s="142"/>
      <c r="K31" s="142"/>
      <c r="L31" s="142"/>
      <c r="M31" s="22"/>
      <c r="N31" s="128"/>
      <c r="O31" s="22"/>
      <c r="P31" s="22"/>
      <c r="Q31" s="22"/>
      <c r="R31" s="22"/>
      <c r="S31" s="22"/>
      <c r="T31" s="22"/>
    </row>
    <row r="32" spans="1:20" ht="13">
      <c r="A32" s="22"/>
      <c r="C32" s="129"/>
      <c r="D32" s="22"/>
      <c r="E32" s="22"/>
      <c r="F32" s="22"/>
      <c r="G32" s="22"/>
      <c r="H32" s="22"/>
      <c r="I32" s="22"/>
      <c r="J32" s="142"/>
      <c r="K32" s="142"/>
      <c r="L32" s="142"/>
      <c r="M32" s="22"/>
      <c r="N32" s="128"/>
      <c r="O32" s="22"/>
      <c r="P32" s="22"/>
      <c r="Q32" s="22"/>
      <c r="R32" s="22"/>
      <c r="S32" s="22"/>
      <c r="T32" s="22"/>
    </row>
    <row r="33" spans="1:20" ht="13">
      <c r="A33" s="22"/>
      <c r="C33" s="129"/>
      <c r="D33" s="22"/>
      <c r="E33" s="22"/>
      <c r="F33" s="22"/>
      <c r="G33" s="22"/>
      <c r="H33" s="22"/>
      <c r="I33" s="22"/>
      <c r="J33" s="142"/>
      <c r="K33" s="142"/>
      <c r="L33" s="142"/>
      <c r="M33" s="22"/>
      <c r="N33" s="128"/>
      <c r="O33" s="22"/>
      <c r="P33" s="22"/>
      <c r="Q33" s="22"/>
      <c r="R33" s="22"/>
      <c r="S33" s="22"/>
      <c r="T33" s="22"/>
    </row>
    <row r="34" spans="1:20" ht="13">
      <c r="A34" s="22"/>
      <c r="C34" s="129"/>
      <c r="D34" s="22"/>
      <c r="E34" s="22"/>
      <c r="F34" s="22"/>
      <c r="G34" s="22"/>
      <c r="H34" s="22"/>
      <c r="I34" s="22"/>
      <c r="J34" s="142"/>
      <c r="K34" s="142"/>
      <c r="L34" s="142"/>
      <c r="M34" s="22"/>
      <c r="N34" s="128"/>
      <c r="O34" s="22"/>
      <c r="P34" s="22"/>
      <c r="Q34" s="22"/>
      <c r="R34" s="22"/>
      <c r="S34" s="22"/>
      <c r="T34" s="22"/>
    </row>
    <row r="35" spans="1:20" ht="6" customHeight="1" thickBot="1">
      <c r="A35" s="22"/>
      <c r="C35" s="129"/>
      <c r="D35" s="136"/>
      <c r="E35" s="137"/>
      <c r="F35" s="136"/>
      <c r="G35" s="137"/>
      <c r="H35" s="137"/>
      <c r="I35" s="137"/>
      <c r="J35" s="137"/>
      <c r="K35" s="137"/>
      <c r="L35" s="136"/>
      <c r="M35" s="136"/>
      <c r="N35" s="128"/>
      <c r="O35" s="22"/>
      <c r="P35" s="22"/>
      <c r="Q35" s="22"/>
      <c r="R35" s="22"/>
      <c r="S35" s="22"/>
      <c r="T35" s="22"/>
    </row>
    <row r="36" spans="1:20" ht="0.9" hidden="1" customHeight="1">
      <c r="A36" s="22"/>
      <c r="C36" s="129"/>
      <c r="D36" s="22"/>
      <c r="E36" s="22"/>
      <c r="F36" s="22"/>
      <c r="G36" s="22"/>
      <c r="H36" s="22"/>
      <c r="I36" s="22"/>
      <c r="J36" s="22"/>
      <c r="K36" s="22"/>
      <c r="L36" s="22"/>
      <c r="M36" s="22"/>
      <c r="N36" s="128"/>
      <c r="O36" s="22"/>
      <c r="P36" s="22"/>
      <c r="Q36" s="22"/>
      <c r="R36" s="22"/>
      <c r="S36" s="22"/>
      <c r="T36" s="22"/>
    </row>
    <row r="37" spans="1:20" ht="0.9" hidden="1" customHeight="1">
      <c r="A37" s="22"/>
      <c r="C37" s="129"/>
      <c r="D37" s="22"/>
      <c r="E37" s="22"/>
      <c r="F37" s="22"/>
      <c r="G37" s="22"/>
      <c r="H37" s="22"/>
      <c r="I37" s="22"/>
      <c r="J37" s="22"/>
      <c r="K37" s="22"/>
      <c r="L37" s="22"/>
      <c r="M37" s="22"/>
      <c r="N37" s="128"/>
      <c r="O37" s="22"/>
      <c r="P37" s="22"/>
      <c r="Q37" s="22"/>
      <c r="R37" s="22"/>
      <c r="S37" s="22"/>
      <c r="T37" s="22"/>
    </row>
    <row r="38" spans="1:20" ht="0.9" hidden="1" customHeight="1">
      <c r="A38" s="22"/>
      <c r="C38" s="129"/>
      <c r="D38" s="22"/>
      <c r="E38" s="22"/>
      <c r="F38" s="22"/>
      <c r="G38" s="22"/>
      <c r="H38" s="22"/>
      <c r="I38" s="22"/>
      <c r="J38" s="22"/>
      <c r="K38" s="22"/>
      <c r="L38" s="22"/>
      <c r="M38" s="22"/>
      <c r="N38" s="128"/>
      <c r="O38" s="22"/>
      <c r="P38" s="22"/>
      <c r="Q38" s="22"/>
      <c r="R38" s="22"/>
      <c r="S38" s="22"/>
      <c r="T38" s="22"/>
    </row>
    <row r="39" spans="1:20" ht="0.9" hidden="1" customHeight="1">
      <c r="A39" s="22"/>
      <c r="C39" s="129"/>
      <c r="D39" s="22"/>
      <c r="E39" s="22"/>
      <c r="F39" s="22"/>
      <c r="G39" s="22"/>
      <c r="H39" s="22"/>
      <c r="I39" s="22"/>
      <c r="J39" s="22"/>
      <c r="K39" s="22"/>
      <c r="L39" s="22"/>
      <c r="M39" s="22"/>
      <c r="N39" s="128"/>
      <c r="O39" s="22"/>
      <c r="P39" s="22"/>
      <c r="Q39" s="22"/>
      <c r="R39" s="22"/>
      <c r="S39" s="22"/>
      <c r="T39" s="22"/>
    </row>
    <row r="40" spans="1:20" ht="0.9" hidden="1" customHeight="1">
      <c r="A40" s="22"/>
      <c r="C40" s="129"/>
      <c r="D40" s="22"/>
      <c r="E40" s="22"/>
      <c r="F40" s="22"/>
      <c r="G40" s="22"/>
      <c r="H40" s="22"/>
      <c r="I40" s="22"/>
      <c r="J40" s="22"/>
      <c r="K40" s="22"/>
      <c r="L40" s="22"/>
      <c r="M40" s="22"/>
      <c r="N40" s="128"/>
      <c r="O40" s="22"/>
      <c r="P40" s="22"/>
      <c r="Q40" s="22"/>
      <c r="R40" s="22"/>
      <c r="S40" s="22"/>
      <c r="T40" s="22"/>
    </row>
    <row r="41" spans="1:20" ht="0.9" hidden="1" customHeight="1">
      <c r="A41" s="22"/>
      <c r="C41" s="129"/>
      <c r="D41" s="22"/>
      <c r="E41" s="22"/>
      <c r="F41" s="22"/>
      <c r="G41" s="22"/>
      <c r="H41" s="22"/>
      <c r="I41" s="22"/>
      <c r="J41" s="22"/>
      <c r="K41" s="22"/>
      <c r="L41" s="22"/>
      <c r="M41" s="22"/>
      <c r="N41" s="128"/>
      <c r="O41" s="22"/>
      <c r="P41" s="22"/>
      <c r="Q41" s="22"/>
      <c r="R41" s="22"/>
      <c r="S41" s="22"/>
      <c r="T41" s="22"/>
    </row>
    <row r="42" spans="1:20" ht="39.75" hidden="1" customHeight="1">
      <c r="A42" s="22"/>
      <c r="C42" s="129"/>
      <c r="D42" s="147" t="s">
        <v>174</v>
      </c>
      <c r="E42" s="22"/>
      <c r="F42" s="22"/>
      <c r="G42" s="22"/>
      <c r="H42" s="22"/>
      <c r="I42" s="22"/>
      <c r="J42" s="22"/>
      <c r="K42" s="22"/>
      <c r="L42" s="148"/>
      <c r="M42" s="22"/>
      <c r="N42" s="128"/>
      <c r="O42" s="22"/>
      <c r="P42" s="22"/>
      <c r="Q42" s="22"/>
      <c r="R42" s="22"/>
      <c r="S42" s="22"/>
      <c r="T42" s="22"/>
    </row>
    <row r="43" spans="1:20" ht="6.75" customHeight="1">
      <c r="A43" s="22"/>
      <c r="C43" s="128"/>
      <c r="D43" s="128"/>
      <c r="E43" s="128"/>
      <c r="F43" s="128"/>
      <c r="G43" s="128"/>
      <c r="H43" s="128"/>
      <c r="I43" s="128"/>
      <c r="J43" s="128"/>
      <c r="K43" s="128"/>
      <c r="L43" s="128"/>
      <c r="M43" s="128"/>
      <c r="N43" s="128"/>
      <c r="O43" s="22"/>
      <c r="P43" s="22"/>
      <c r="Q43" s="22"/>
      <c r="R43" s="22"/>
      <c r="S43" s="22"/>
      <c r="T43" s="22"/>
    </row>
    <row r="46" spans="1:20" ht="12.75" customHeight="1">
      <c r="E46" s="130"/>
    </row>
    <row r="48" spans="1:20" ht="12.75" customHeight="1">
      <c r="F48" s="263"/>
    </row>
    <row r="49" spans="5:12" ht="12.75" customHeight="1">
      <c r="F49" s="263"/>
    </row>
    <row r="50" spans="5:12" ht="12.75" customHeight="1">
      <c r="F50" s="263"/>
      <c r="K50" s="268"/>
      <c r="L50" s="143"/>
    </row>
    <row r="51" spans="5:12" ht="12.75" customHeight="1">
      <c r="K51" s="268"/>
    </row>
    <row r="52" spans="5:12" ht="12.75" customHeight="1">
      <c r="E52" s="267"/>
      <c r="K52" s="268"/>
    </row>
    <row r="53" spans="5:12" ht="12.75" customHeight="1">
      <c r="E53" s="267"/>
      <c r="K53" s="268"/>
    </row>
    <row r="54" spans="5:12" ht="12.75" customHeight="1">
      <c r="E54" s="267"/>
    </row>
  </sheetData>
  <sheetProtection algorithmName="SHA-512" hashValue="QtUfYFDYJyjhJmJdPNbzHJM+JaKsLYrK4a8+zznA6ODg5WfUZ82/t1YH08QDKD1+f/qV4pzXqJ3KQeBslOU7Uw==" saltValue="+u5ROMtngOerFIVDPUp0zw==" spinCount="100000" sheet="1" objects="1" scenarios="1"/>
  <mergeCells count="9">
    <mergeCell ref="O7:O10"/>
    <mergeCell ref="L4:L6"/>
    <mergeCell ref="F48:F50"/>
    <mergeCell ref="G19:J23"/>
    <mergeCell ref="E52:E54"/>
    <mergeCell ref="K50:K53"/>
    <mergeCell ref="F4:K6"/>
    <mergeCell ref="G9:J13"/>
    <mergeCell ref="L22:M23"/>
  </mergeCells>
  <phoneticPr fontId="0" type="noConversion"/>
  <conditionalFormatting sqref="G19:J23">
    <cfRule type="expression" dxfId="0" priority="1" stopIfTrue="1">
      <formula>ISERR($E$27)</formula>
    </cfRule>
  </conditionalFormatting>
  <hyperlinks>
    <hyperlink ref="E17" r:id="rId1" display="For recent updates on this tool and other FAST tools, visit us at www.farmdoc.uiuc.edu." xr:uid="{00000000-0004-0000-0100-000000000000}"/>
    <hyperlink ref="E18" r:id="rId2" xr:uid="{00000000-0004-0000-0100-000001000000}"/>
  </hyperlinks>
  <pageMargins left="0.75" right="0.75" top="1" bottom="1" header="0.5" footer="0.5"/>
  <pageSetup orientation="portrait" horizontalDpi="300" verticalDpi="300" r:id="rId3"/>
  <headerFooter alignWithMargins="0"/>
  <drawing r:id="rId4"/>
  <legacyDrawing r:id="rId5"/>
  <controls>
    <mc:AlternateContent xmlns:mc="http://schemas.openxmlformats.org/markup-compatibility/2006">
      <mc:Choice Requires="x14">
        <control shapeId="5123" r:id="rId6" name="CommandButton1">
          <controlPr defaultSize="0" autoLine="0" r:id="rId7">
            <anchor moveWithCells="1" sizeWithCells="1">
              <from>
                <xdr:col>11</xdr:col>
                <xdr:colOff>38100</xdr:colOff>
                <xdr:row>3</xdr:row>
                <xdr:rowOff>25400</xdr:rowOff>
              </from>
              <to>
                <xdr:col>12</xdr:col>
                <xdr:colOff>158750</xdr:colOff>
                <xdr:row>3</xdr:row>
                <xdr:rowOff>311150</xdr:rowOff>
              </to>
            </anchor>
          </controlPr>
        </control>
      </mc:Choice>
      <mc:Fallback>
        <control shapeId="5123" r:id="rId6" name="CommandButton1"/>
      </mc:Fallback>
    </mc:AlternateContent>
  </controls>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1">
    <pageSetUpPr fitToPage="1"/>
  </sheetPr>
  <dimension ref="A3:BJ403"/>
  <sheetViews>
    <sheetView showGridLines="0" showRowColHeaders="0" topLeftCell="O1" zoomScaleNormal="100" workbookViewId="0"/>
  </sheetViews>
  <sheetFormatPr defaultRowHeight="12.5"/>
  <cols>
    <col min="1" max="1" width="5" hidden="1" customWidth="1"/>
    <col min="2" max="2" width="3" hidden="1" customWidth="1"/>
    <col min="3" max="8" width="9.08984375" hidden="1" customWidth="1"/>
    <col min="9" max="9" width="4.36328125" hidden="1" customWidth="1"/>
    <col min="10" max="10" width="3.6328125" hidden="1" customWidth="1"/>
    <col min="11" max="11" width="7.36328125" hidden="1" customWidth="1"/>
    <col min="12" max="12" width="12.453125" hidden="1" customWidth="1"/>
    <col min="13" max="14" width="9.08984375" hidden="1" customWidth="1"/>
    <col min="15" max="15" width="2" customWidth="1"/>
    <col min="16" max="16" width="1.453125" customWidth="1"/>
    <col min="17" max="17" width="2" customWidth="1"/>
    <col min="19" max="19" width="9.54296875" customWidth="1"/>
    <col min="21" max="21" width="5.6328125" customWidth="1"/>
    <col min="22" max="22" width="5.6328125" hidden="1" customWidth="1"/>
    <col min="23" max="27" width="9.6328125" hidden="1" customWidth="1"/>
    <col min="28" max="28" width="5.6328125" hidden="1" customWidth="1"/>
    <col min="29" max="29" width="1.90625" customWidth="1"/>
    <col min="30" max="30" width="14.453125" customWidth="1"/>
    <col min="31" max="31" width="8.36328125" customWidth="1"/>
    <col min="32" max="32" width="10.6328125" customWidth="1"/>
    <col min="33" max="33" width="7.90625" customWidth="1"/>
    <col min="34" max="34" width="7" customWidth="1"/>
    <col min="35" max="35" width="2.08984375" hidden="1" customWidth="1"/>
    <col min="36" max="36" width="18.54296875" hidden="1" customWidth="1"/>
    <col min="37" max="37" width="4.36328125" hidden="1" customWidth="1"/>
    <col min="38" max="38" width="9.453125" hidden="1" customWidth="1"/>
    <col min="39" max="39" width="7.54296875" hidden="1" customWidth="1"/>
    <col min="40" max="40" width="9.08984375" hidden="1" customWidth="1"/>
    <col min="41" max="41" width="2.6328125" hidden="1" customWidth="1"/>
    <col min="42" max="42" width="2.08984375" hidden="1" customWidth="1"/>
    <col min="43" max="43" width="15.453125" hidden="1" customWidth="1"/>
    <col min="44" max="44" width="8" hidden="1" customWidth="1"/>
    <col min="45" max="45" width="8.54296875" hidden="1" customWidth="1"/>
    <col min="46" max="46" width="8.08984375" hidden="1" customWidth="1"/>
    <col min="47" max="48" width="3.54296875" hidden="1" customWidth="1"/>
    <col min="49" max="49" width="2" hidden="1" customWidth="1"/>
    <col min="50" max="50" width="17" hidden="1" customWidth="1"/>
    <col min="51" max="51" width="9.08984375" hidden="1" customWidth="1"/>
    <col min="52" max="52" width="9.6328125" hidden="1" customWidth="1"/>
    <col min="53" max="53" width="7.54296875" hidden="1" customWidth="1"/>
    <col min="54" max="54" width="4.36328125" hidden="1" customWidth="1"/>
    <col min="55" max="55" width="2.453125" hidden="1" customWidth="1"/>
    <col min="56" max="56" width="2.90625" hidden="1" customWidth="1"/>
    <col min="57" max="57" width="15.6328125" hidden="1" customWidth="1"/>
    <col min="58" max="58" width="6.08984375" hidden="1" customWidth="1"/>
    <col min="59" max="59" width="9.08984375" hidden="1" customWidth="1"/>
    <col min="60" max="60" width="7.6328125" hidden="1" customWidth="1"/>
    <col min="61" max="61" width="6" hidden="1" customWidth="1"/>
    <col min="62" max="62" width="3.6328125" hidden="1" customWidth="1"/>
  </cols>
  <sheetData>
    <row r="3" spans="1:62" ht="15">
      <c r="B3" s="281" t="s">
        <v>35</v>
      </c>
      <c r="C3" s="281"/>
      <c r="D3" s="281"/>
      <c r="E3" s="281"/>
      <c r="F3" s="281"/>
      <c r="G3" s="281"/>
      <c r="H3" s="281"/>
      <c r="I3" s="281"/>
      <c r="J3" s="7"/>
      <c r="K3" s="7"/>
      <c r="L3" s="123"/>
      <c r="T3" t="s">
        <v>285</v>
      </c>
      <c r="AD3" s="22" t="s">
        <v>38</v>
      </c>
      <c r="AF3" s="4"/>
      <c r="AJ3" s="22" t="s">
        <v>46</v>
      </c>
      <c r="AL3" s="4"/>
      <c r="AP3" s="22" t="s">
        <v>54</v>
      </c>
      <c r="AX3" s="22" t="s">
        <v>68</v>
      </c>
      <c r="BD3" s="22" t="s">
        <v>138</v>
      </c>
    </row>
    <row r="4" spans="1:62" ht="13">
      <c r="B4" s="4"/>
      <c r="C4" s="4"/>
      <c r="D4" s="4"/>
      <c r="E4" s="4"/>
      <c r="F4" s="4"/>
      <c r="G4" s="4"/>
      <c r="H4" s="4"/>
      <c r="I4" s="4"/>
      <c r="L4" s="19" t="s">
        <v>0</v>
      </c>
      <c r="X4" s="123">
        <f ca="1">TODAY()</f>
        <v>45709</v>
      </c>
      <c r="Y4">
        <f ca="1">YEAR(X4)</f>
        <v>2025</v>
      </c>
      <c r="AC4" s="8"/>
      <c r="AD4" s="9"/>
      <c r="AE4" s="9"/>
      <c r="AF4" s="12"/>
      <c r="AG4" s="24" t="s">
        <v>70</v>
      </c>
      <c r="AH4" s="10"/>
      <c r="AI4" s="8"/>
      <c r="AJ4" s="9"/>
      <c r="AK4" s="9"/>
      <c r="AL4" s="12"/>
      <c r="AM4" s="24" t="s">
        <v>72</v>
      </c>
      <c r="AN4" s="10"/>
      <c r="AO4" s="8"/>
      <c r="AP4" s="9"/>
      <c r="AQ4" s="9"/>
      <c r="AR4" s="9"/>
      <c r="AS4" s="9"/>
      <c r="AT4" s="9"/>
      <c r="AU4" s="9"/>
      <c r="AV4" s="10"/>
      <c r="AW4" s="8"/>
      <c r="AX4" s="9"/>
      <c r="AY4" s="9"/>
      <c r="AZ4" s="9"/>
      <c r="BA4" s="9"/>
      <c r="BB4" s="9"/>
      <c r="BC4" s="8"/>
      <c r="BD4" s="9"/>
      <c r="BE4" s="9"/>
      <c r="BF4" s="9"/>
      <c r="BG4" s="9"/>
      <c r="BH4" s="9"/>
      <c r="BI4" s="9"/>
      <c r="BJ4" s="10"/>
    </row>
    <row r="5" spans="1:62" ht="13">
      <c r="L5" s="19" t="s">
        <v>2</v>
      </c>
      <c r="AC5" s="11"/>
      <c r="AD5" s="12" t="s">
        <v>56</v>
      </c>
      <c r="AE5" s="12"/>
      <c r="AF5" s="25">
        <v>30</v>
      </c>
      <c r="AG5" s="12" t="s">
        <v>27</v>
      </c>
      <c r="AH5" s="23">
        <v>30</v>
      </c>
      <c r="AI5" s="11"/>
      <c r="AJ5" s="12" t="s">
        <v>47</v>
      </c>
      <c r="AK5" s="45"/>
      <c r="AL5" s="25">
        <v>20</v>
      </c>
      <c r="AM5" s="12" t="s">
        <v>48</v>
      </c>
      <c r="AN5" s="23"/>
      <c r="AO5" s="11" t="s">
        <v>71</v>
      </c>
      <c r="AP5" s="12" t="s">
        <v>55</v>
      </c>
      <c r="AQ5" s="12"/>
      <c r="AR5" s="12"/>
      <c r="AS5" s="12"/>
      <c r="AT5" s="28" t="s">
        <v>67</v>
      </c>
      <c r="AU5" s="12"/>
      <c r="AV5" s="13"/>
      <c r="AW5" s="11"/>
      <c r="AX5" s="12" t="s">
        <v>47</v>
      </c>
      <c r="AY5" s="12"/>
      <c r="AZ5" s="25">
        <f>12*30/12</f>
        <v>30</v>
      </c>
      <c r="BA5" s="12" t="s">
        <v>48</v>
      </c>
      <c r="BB5" s="12"/>
      <c r="BC5" s="11"/>
      <c r="BD5" s="12" t="s">
        <v>38</v>
      </c>
      <c r="BE5" s="12"/>
      <c r="BF5" s="12"/>
      <c r="BG5" s="12"/>
      <c r="BH5" s="94" t="s">
        <v>70</v>
      </c>
      <c r="BI5" s="12"/>
      <c r="BJ5" s="13"/>
    </row>
    <row r="6" spans="1:62" ht="13">
      <c r="C6" s="18" t="s">
        <v>7</v>
      </c>
      <c r="D6" s="18"/>
      <c r="E6" s="3" t="s">
        <v>0</v>
      </c>
      <c r="F6" s="3" t="s">
        <v>2</v>
      </c>
      <c r="G6" s="3" t="s">
        <v>3</v>
      </c>
      <c r="H6" s="3"/>
      <c r="L6" s="19" t="s">
        <v>3</v>
      </c>
      <c r="Q6" s="22" t="s">
        <v>22</v>
      </c>
      <c r="X6">
        <f>MONTH(T9)</f>
        <v>4</v>
      </c>
      <c r="Y6">
        <f>DAY(T9)</f>
        <v>14</v>
      </c>
      <c r="AA6" s="123">
        <f ca="1">DATE(Y4,X6,Y6)</f>
        <v>45761</v>
      </c>
      <c r="AC6" s="11"/>
      <c r="AD6" s="12" t="s">
        <v>24</v>
      </c>
      <c r="AE6" s="12"/>
      <c r="AF6" s="25">
        <v>24</v>
      </c>
      <c r="AG6" s="12"/>
      <c r="AH6" s="23"/>
      <c r="AI6" s="11"/>
      <c r="AJ6" s="12" t="s">
        <v>28</v>
      </c>
      <c r="AK6" s="45"/>
      <c r="AL6" s="25">
        <v>5.5</v>
      </c>
      <c r="AM6" s="12" t="s">
        <v>33</v>
      </c>
      <c r="AN6" s="23">
        <v>5.5</v>
      </c>
      <c r="AO6" s="11"/>
      <c r="AP6" s="12"/>
      <c r="AQ6" s="12" t="s">
        <v>23</v>
      </c>
      <c r="AR6" s="12"/>
      <c r="AS6" s="25">
        <v>12</v>
      </c>
      <c r="AT6" s="12" t="s">
        <v>32</v>
      </c>
      <c r="AU6" s="12"/>
      <c r="AV6" s="13"/>
      <c r="AW6" s="11"/>
      <c r="AX6" s="12" t="s">
        <v>28</v>
      </c>
      <c r="AY6" s="12"/>
      <c r="AZ6" s="25">
        <v>4.5</v>
      </c>
      <c r="BA6" s="12" t="s">
        <v>60</v>
      </c>
      <c r="BB6" s="12"/>
      <c r="BC6" s="11"/>
      <c r="BD6" s="12"/>
      <c r="BE6" s="12" t="s">
        <v>56</v>
      </c>
      <c r="BF6" s="12"/>
      <c r="BG6" s="25">
        <v>30</v>
      </c>
      <c r="BH6" s="12" t="s">
        <v>27</v>
      </c>
      <c r="BI6" s="59">
        <v>30</v>
      </c>
      <c r="BJ6" s="13"/>
    </row>
    <row r="7" spans="1:62">
      <c r="C7" s="3" t="s">
        <v>5</v>
      </c>
      <c r="D7" s="3" t="s">
        <v>6</v>
      </c>
      <c r="E7" s="3" t="s">
        <v>1</v>
      </c>
      <c r="F7" s="3" t="s">
        <v>1</v>
      </c>
      <c r="G7" s="3" t="s">
        <v>1</v>
      </c>
      <c r="H7" s="95" t="s">
        <v>68</v>
      </c>
      <c r="L7" s="19" t="str">
        <f>H7</f>
        <v>Other</v>
      </c>
      <c r="P7" s="8"/>
      <c r="Q7" s="9"/>
      <c r="R7" s="9"/>
      <c r="S7" s="9"/>
      <c r="T7" s="9"/>
      <c r="U7" s="10"/>
      <c r="X7">
        <f>MONTH(T10)</f>
        <v>5</v>
      </c>
      <c r="Y7">
        <f>DAY(T10)</f>
        <v>15</v>
      </c>
      <c r="AA7" s="123">
        <f ca="1">DATE(Y4,X7,Y7)</f>
        <v>45792</v>
      </c>
      <c r="AC7" s="11"/>
      <c r="AD7" s="12" t="s">
        <v>28</v>
      </c>
      <c r="AE7" s="12"/>
      <c r="AF7" s="25">
        <v>6</v>
      </c>
      <c r="AG7" s="12" t="s">
        <v>33</v>
      </c>
      <c r="AH7" s="23">
        <v>6</v>
      </c>
      <c r="AI7" s="11"/>
      <c r="AJ7" s="12" t="s">
        <v>25</v>
      </c>
      <c r="AK7" s="45"/>
      <c r="AL7" s="25">
        <v>10</v>
      </c>
      <c r="AM7" s="12" t="s">
        <v>29</v>
      </c>
      <c r="AN7" s="23"/>
      <c r="AO7" s="11"/>
      <c r="AP7" s="12"/>
      <c r="AQ7" s="12" t="s">
        <v>56</v>
      </c>
      <c r="AR7" s="12"/>
      <c r="AS7" s="25">
        <v>30</v>
      </c>
      <c r="AT7" s="12" t="s">
        <v>59</v>
      </c>
      <c r="AU7" s="12"/>
      <c r="AV7" s="13"/>
      <c r="AW7" s="11"/>
      <c r="AX7" s="12" t="s">
        <v>25</v>
      </c>
      <c r="AY7" s="12"/>
      <c r="AZ7" s="25">
        <v>10</v>
      </c>
      <c r="BA7" s="12" t="s">
        <v>29</v>
      </c>
      <c r="BB7" s="12"/>
      <c r="BC7" s="11"/>
      <c r="BD7" s="12"/>
      <c r="BE7" s="12" t="s">
        <v>24</v>
      </c>
      <c r="BF7" s="12"/>
      <c r="BG7" s="25">
        <v>16</v>
      </c>
      <c r="BH7" s="12"/>
      <c r="BI7" s="59"/>
      <c r="BJ7" s="13"/>
    </row>
    <row r="8" spans="1:62">
      <c r="B8" s="4"/>
      <c r="C8" s="4"/>
      <c r="D8" s="4"/>
      <c r="E8" s="4"/>
      <c r="F8" s="4"/>
      <c r="G8" s="4"/>
      <c r="H8" s="4"/>
      <c r="I8" s="4"/>
      <c r="P8" s="11"/>
      <c r="Q8" s="21" t="s">
        <v>10</v>
      </c>
      <c r="R8" s="12"/>
      <c r="S8" s="12"/>
      <c r="T8" s="12"/>
      <c r="U8" s="13"/>
      <c r="AC8" s="11"/>
      <c r="AD8" s="12" t="s">
        <v>25</v>
      </c>
      <c r="AE8" s="12"/>
      <c r="AF8" s="25">
        <v>12</v>
      </c>
      <c r="AG8" s="12" t="s">
        <v>29</v>
      </c>
      <c r="AH8" s="23"/>
      <c r="AI8" s="11"/>
      <c r="AJ8" s="12" t="s">
        <v>26</v>
      </c>
      <c r="AK8" s="45"/>
      <c r="AL8" s="26">
        <v>0.7</v>
      </c>
      <c r="AM8" s="12" t="s">
        <v>31</v>
      </c>
      <c r="AN8" s="23">
        <v>70</v>
      </c>
      <c r="AO8" s="11"/>
      <c r="AP8" s="12"/>
      <c r="AQ8" s="12" t="s">
        <v>28</v>
      </c>
      <c r="AR8" s="12"/>
      <c r="AS8" s="25">
        <v>3.5</v>
      </c>
      <c r="AT8" s="12" t="s">
        <v>60</v>
      </c>
      <c r="AU8" s="27">
        <v>3.5</v>
      </c>
      <c r="AV8" s="13"/>
      <c r="AW8" s="11"/>
      <c r="AX8" s="12" t="s">
        <v>26</v>
      </c>
      <c r="AY8" s="12"/>
      <c r="AZ8" s="26">
        <v>0.83</v>
      </c>
      <c r="BA8" s="12" t="s">
        <v>31</v>
      </c>
      <c r="BB8" s="12"/>
      <c r="BC8" s="11"/>
      <c r="BD8" s="12"/>
      <c r="BE8" s="12" t="s">
        <v>28</v>
      </c>
      <c r="BF8" s="12"/>
      <c r="BG8" s="25">
        <v>6</v>
      </c>
      <c r="BH8" s="12" t="s">
        <v>33</v>
      </c>
      <c r="BI8" s="59">
        <v>6</v>
      </c>
      <c r="BJ8" s="13"/>
    </row>
    <row r="9" spans="1:62">
      <c r="P9" s="11"/>
      <c r="Q9" s="12"/>
      <c r="R9" s="12" t="s">
        <v>11</v>
      </c>
      <c r="S9" s="12"/>
      <c r="T9" s="20">
        <v>44665</v>
      </c>
      <c r="U9" s="13"/>
      <c r="AC9" s="11"/>
      <c r="AD9" s="12" t="s">
        <v>26</v>
      </c>
      <c r="AE9" s="12"/>
      <c r="AF9" s="26">
        <v>0.65</v>
      </c>
      <c r="AG9" s="12" t="s">
        <v>31</v>
      </c>
      <c r="AH9" s="23">
        <v>70</v>
      </c>
      <c r="AI9" s="11"/>
      <c r="AJ9" s="12" t="s">
        <v>30</v>
      </c>
      <c r="AK9" s="45"/>
      <c r="AL9" s="25">
        <v>500</v>
      </c>
      <c r="AM9" s="12" t="s">
        <v>32</v>
      </c>
      <c r="AN9" s="23"/>
      <c r="AO9" s="11"/>
      <c r="AP9" s="12"/>
      <c r="AQ9" s="12" t="s">
        <v>26</v>
      </c>
      <c r="AR9" s="12"/>
      <c r="AS9" s="26">
        <v>0.65</v>
      </c>
      <c r="AT9" s="12" t="s">
        <v>31</v>
      </c>
      <c r="AU9" s="12">
        <v>65</v>
      </c>
      <c r="AV9" s="13"/>
      <c r="AW9" s="11"/>
      <c r="AX9" s="12" t="s">
        <v>30</v>
      </c>
      <c r="AY9" s="12"/>
      <c r="AZ9" s="25">
        <v>1600</v>
      </c>
      <c r="BA9" s="12" t="s">
        <v>32</v>
      </c>
      <c r="BB9" s="12"/>
      <c r="BC9" s="11"/>
      <c r="BD9" s="12"/>
      <c r="BE9" s="12" t="s">
        <v>25</v>
      </c>
      <c r="BF9" s="12"/>
      <c r="BG9" s="25">
        <v>12</v>
      </c>
      <c r="BH9" s="12" t="s">
        <v>29</v>
      </c>
      <c r="BI9" s="59"/>
      <c r="BJ9" s="13"/>
    </row>
    <row r="10" spans="1:62">
      <c r="A10" s="121">
        <v>36600</v>
      </c>
      <c r="B10" s="122">
        <v>36981</v>
      </c>
      <c r="C10" s="120">
        <f ca="1">DATE($Y$4,MONTH(A10),DAY(A10))</f>
        <v>45731</v>
      </c>
      <c r="D10" s="120">
        <f ca="1">DATE($Y$4,MONTH(B10),DAY(B10))</f>
        <v>45747</v>
      </c>
      <c r="E10" s="2">
        <v>0.12</v>
      </c>
      <c r="F10" s="2">
        <v>0.14000000000000001</v>
      </c>
      <c r="G10" s="2">
        <v>7.0000000000000007E-2</v>
      </c>
      <c r="H10" s="149">
        <v>1</v>
      </c>
      <c r="K10">
        <f t="shared" ref="K10:K42" si="0">IF($T$12=$E$6,$E10,IF($T$12=$F$6,$F10,IF($T$12=$G$6,$G10,$H10)))</f>
        <v>0.14000000000000001</v>
      </c>
      <c r="L10">
        <f ca="1">IF($AA$6&lt;=$D10,IF($AA$7&gt;=$C10,MIN($AA$7,$D10)-MAX($AA$6,$C10)+1,0),0)</f>
        <v>0</v>
      </c>
      <c r="M10">
        <f ca="1">L10*K10</f>
        <v>0</v>
      </c>
      <c r="N10">
        <f t="shared" ref="N10:N42" ca="1" si="1">K10*L10/$L$43</f>
        <v>0</v>
      </c>
      <c r="P10" s="11"/>
      <c r="Q10" s="12"/>
      <c r="R10" s="12" t="s">
        <v>15</v>
      </c>
      <c r="S10" s="12"/>
      <c r="T10" s="20">
        <v>44696</v>
      </c>
      <c r="U10" s="13"/>
      <c r="W10">
        <f>K10</f>
        <v>0.14000000000000001</v>
      </c>
      <c r="X10">
        <f ca="1">IF($AA$6&lt;=$D10,IF($AA$7&gt;=$C10,MIN($AA$7,$D10)-MAX($AA$6,$C10)+1,0),0)</f>
        <v>0</v>
      </c>
      <c r="Y10">
        <f ca="1">X10*W10</f>
        <v>0</v>
      </c>
      <c r="Z10">
        <f t="shared" ref="Z10:Z42" ca="1" si="2">W10*X10/$L$43</f>
        <v>0</v>
      </c>
      <c r="AC10" s="11"/>
      <c r="AD10" s="12" t="s">
        <v>30</v>
      </c>
      <c r="AE10" s="12"/>
      <c r="AF10" s="25">
        <v>1600</v>
      </c>
      <c r="AG10" s="12" t="s">
        <v>32</v>
      </c>
      <c r="AH10" s="23"/>
      <c r="AI10" s="11"/>
      <c r="AJ10" s="12"/>
      <c r="AK10" s="12"/>
      <c r="AL10" s="12"/>
      <c r="AM10" s="12"/>
      <c r="AN10" s="13"/>
      <c r="AO10" s="11"/>
      <c r="AP10" s="12"/>
      <c r="AQ10" s="12"/>
      <c r="AR10" s="12"/>
      <c r="AS10" s="12"/>
      <c r="AT10" s="12"/>
      <c r="AU10" s="12"/>
      <c r="AV10" s="13"/>
      <c r="AW10" s="14"/>
      <c r="AX10" s="15"/>
      <c r="AY10" s="15"/>
      <c r="AZ10" s="15"/>
      <c r="BA10" s="15"/>
      <c r="BB10" s="15"/>
      <c r="BC10" s="11"/>
      <c r="BD10" s="12"/>
      <c r="BE10" s="12" t="s">
        <v>26</v>
      </c>
      <c r="BF10" s="12"/>
      <c r="BG10" s="26">
        <v>0.7</v>
      </c>
      <c r="BH10" s="12" t="s">
        <v>31</v>
      </c>
      <c r="BI10" s="59">
        <v>70</v>
      </c>
      <c r="BJ10" s="13"/>
    </row>
    <row r="11" spans="1:62">
      <c r="A11" s="122">
        <v>36982</v>
      </c>
      <c r="B11" s="122">
        <v>36989</v>
      </c>
      <c r="C11" s="120">
        <f t="shared" ref="C11:C42" ca="1" si="3">DATE($Y$4,MONTH(A11),DAY(A11))</f>
        <v>45748</v>
      </c>
      <c r="D11" s="120">
        <f t="shared" ref="D11:D42" ca="1" si="4">DATE($Y$4,MONTH(B11),DAY(B11))</f>
        <v>45755</v>
      </c>
      <c r="E11" s="2">
        <v>0.12</v>
      </c>
      <c r="F11" s="2">
        <v>0.14000000000000001</v>
      </c>
      <c r="G11" s="2">
        <v>7.0000000000000007E-2</v>
      </c>
      <c r="H11" s="149">
        <v>1</v>
      </c>
      <c r="K11">
        <f t="shared" si="0"/>
        <v>0.14000000000000001</v>
      </c>
      <c r="L11">
        <f t="shared" ref="L11:L42" ca="1" si="5">IF($AA$6&lt;=$D11,IF($AA$7&gt;=$C11,MIN($AA$7,$D11)-MAX($AA$6,$C11)+1,0),0)</f>
        <v>0</v>
      </c>
      <c r="M11">
        <f t="shared" ref="M11:M39" ca="1" si="6">L11*K11</f>
        <v>0</v>
      </c>
      <c r="N11">
        <f t="shared" ca="1" si="1"/>
        <v>0</v>
      </c>
      <c r="P11" s="11"/>
      <c r="Q11" s="12"/>
      <c r="R11" s="12"/>
      <c r="S11" s="12"/>
      <c r="T11" s="17"/>
      <c r="U11" s="13"/>
      <c r="W11">
        <f t="shared" ref="W11:W42" si="7">K11</f>
        <v>0.14000000000000001</v>
      </c>
      <c r="X11">
        <f t="shared" ref="X11:X42" ca="1" si="8">IF($T$9&lt;=$D11,IF($T$10&gt;=$C11,MIN($T$10,$D11)-MAX($T$9,$C11)+1,0),0)</f>
        <v>0</v>
      </c>
      <c r="Y11">
        <f t="shared" ref="Y11:Y39" ca="1" si="9">X11*W11</f>
        <v>0</v>
      </c>
      <c r="Z11">
        <f t="shared" ca="1" si="2"/>
        <v>0</v>
      </c>
      <c r="AC11" s="14"/>
      <c r="AD11" s="15"/>
      <c r="AE11" s="15"/>
      <c r="AF11" s="15"/>
      <c r="AG11" s="15"/>
      <c r="AH11" s="16"/>
      <c r="AI11" s="14"/>
      <c r="AJ11" s="15"/>
      <c r="AK11" s="15"/>
      <c r="AL11" s="15"/>
      <c r="AM11" s="15"/>
      <c r="AN11" s="16"/>
      <c r="AO11" s="11"/>
      <c r="AP11" s="12" t="s">
        <v>57</v>
      </c>
      <c r="AQ11" s="12"/>
      <c r="AR11" s="12"/>
      <c r="AS11" s="12"/>
      <c r="AT11" s="12"/>
      <c r="AU11" s="12"/>
      <c r="AV11" s="13"/>
      <c r="AW11" s="40"/>
      <c r="AX11" s="41"/>
      <c r="AY11" s="41"/>
      <c r="AZ11" s="41"/>
      <c r="BA11" s="41"/>
      <c r="BB11" s="41"/>
      <c r="BC11" s="11"/>
      <c r="BD11" s="12"/>
      <c r="BE11" s="12" t="s">
        <v>30</v>
      </c>
      <c r="BF11" s="12"/>
      <c r="BG11" s="25">
        <v>400</v>
      </c>
      <c r="BH11" s="12" t="s">
        <v>32</v>
      </c>
      <c r="BI11" s="59"/>
      <c r="BJ11" s="13"/>
    </row>
    <row r="12" spans="1:62">
      <c r="A12" s="122">
        <v>36990</v>
      </c>
      <c r="B12" s="122">
        <f t="shared" ref="B12:B41" si="10">A13-1</f>
        <v>36997</v>
      </c>
      <c r="C12" s="120">
        <f t="shared" ca="1" si="3"/>
        <v>45756</v>
      </c>
      <c r="D12" s="120">
        <f t="shared" ca="1" si="4"/>
        <v>45763</v>
      </c>
      <c r="E12" s="2">
        <v>0.12</v>
      </c>
      <c r="F12" s="2">
        <v>0.14000000000000001</v>
      </c>
      <c r="G12" s="2">
        <v>7.0000000000000007E-2</v>
      </c>
      <c r="H12" s="149">
        <v>1</v>
      </c>
      <c r="K12">
        <f t="shared" si="0"/>
        <v>0.14000000000000001</v>
      </c>
      <c r="L12">
        <f t="shared" ca="1" si="5"/>
        <v>3</v>
      </c>
      <c r="M12">
        <f t="shared" ca="1" si="6"/>
        <v>0.42000000000000004</v>
      </c>
      <c r="N12">
        <f t="shared" ca="1" si="1"/>
        <v>1.3125000000000001E-2</v>
      </c>
      <c r="P12" s="11"/>
      <c r="Q12" s="12" t="s">
        <v>19</v>
      </c>
      <c r="R12" s="12"/>
      <c r="S12" s="12"/>
      <c r="T12" s="25" t="s">
        <v>2</v>
      </c>
      <c r="U12" s="13"/>
      <c r="V12" s="93"/>
      <c r="W12">
        <f t="shared" si="7"/>
        <v>0.14000000000000001</v>
      </c>
      <c r="X12">
        <f t="shared" ca="1" si="8"/>
        <v>0</v>
      </c>
      <c r="Y12">
        <f t="shared" ca="1" si="9"/>
        <v>0</v>
      </c>
      <c r="Z12">
        <f t="shared" ca="1" si="2"/>
        <v>0</v>
      </c>
      <c r="AA12" s="93"/>
      <c r="AB12" s="93"/>
      <c r="AC12" s="40"/>
      <c r="AD12" s="41"/>
      <c r="AE12" s="41"/>
      <c r="AF12" s="41"/>
      <c r="AG12" s="41"/>
      <c r="AH12" s="42"/>
      <c r="AI12" s="46"/>
      <c r="AJ12" s="47"/>
      <c r="AK12" s="47"/>
      <c r="AL12" s="47"/>
      <c r="AM12" s="47"/>
      <c r="AN12" s="48"/>
      <c r="AO12" s="11"/>
      <c r="AP12" s="12"/>
      <c r="AQ12" s="12" t="s">
        <v>47</v>
      </c>
      <c r="AR12" s="12"/>
      <c r="AS12" s="25">
        <v>30</v>
      </c>
      <c r="AT12" s="12" t="s">
        <v>48</v>
      </c>
      <c r="AU12" s="12"/>
      <c r="AV12" s="13"/>
      <c r="AW12" s="29"/>
      <c r="AX12" s="30" t="s">
        <v>36</v>
      </c>
      <c r="AY12" s="30"/>
      <c r="AZ12" s="43">
        <f>AZ5*AZ7*AZ8/8.25</f>
        <v>30.181818181818183</v>
      </c>
      <c r="BA12" s="30"/>
      <c r="BB12" s="30"/>
      <c r="BC12" s="11"/>
      <c r="BD12" s="12"/>
      <c r="BE12" s="12"/>
      <c r="BF12" s="12"/>
      <c r="BG12" s="12"/>
      <c r="BH12" s="12"/>
      <c r="BI12" s="12"/>
      <c r="BJ12" s="13"/>
    </row>
    <row r="13" spans="1:62" ht="13">
      <c r="A13" s="122">
        <v>36998</v>
      </c>
      <c r="B13" s="122">
        <f t="shared" si="10"/>
        <v>37005</v>
      </c>
      <c r="C13" s="120">
        <f t="shared" ca="1" si="3"/>
        <v>45764</v>
      </c>
      <c r="D13" s="120">
        <f t="shared" ca="1" si="4"/>
        <v>45771</v>
      </c>
      <c r="E13" s="2">
        <v>0.36</v>
      </c>
      <c r="F13" s="2">
        <v>0.26</v>
      </c>
      <c r="G13" s="2">
        <v>0.17</v>
      </c>
      <c r="H13" s="149">
        <v>1</v>
      </c>
      <c r="K13">
        <f t="shared" si="0"/>
        <v>0.26</v>
      </c>
      <c r="L13">
        <f t="shared" ca="1" si="5"/>
        <v>8</v>
      </c>
      <c r="M13">
        <f t="shared" ca="1" si="6"/>
        <v>2.08</v>
      </c>
      <c r="N13">
        <f t="shared" ca="1" si="1"/>
        <v>6.5000000000000002E-2</v>
      </c>
      <c r="P13" s="11"/>
      <c r="Q13" s="12"/>
      <c r="R13" s="12"/>
      <c r="S13" s="12"/>
      <c r="T13" s="12"/>
      <c r="U13" s="13"/>
      <c r="W13">
        <f t="shared" si="7"/>
        <v>0.26</v>
      </c>
      <c r="X13">
        <f t="shared" ca="1" si="8"/>
        <v>0</v>
      </c>
      <c r="Y13">
        <f t="shared" ca="1" si="9"/>
        <v>0</v>
      </c>
      <c r="Z13">
        <f t="shared" ca="1" si="2"/>
        <v>0</v>
      </c>
      <c r="AC13" s="29"/>
      <c r="AD13" s="30" t="s">
        <v>36</v>
      </c>
      <c r="AE13" s="30"/>
      <c r="AF13" s="43">
        <f>((AF5*AF6/12)*AF7*AF9)/8.25</f>
        <v>28.363636363636363</v>
      </c>
      <c r="AG13" s="43"/>
      <c r="AH13" s="31"/>
      <c r="AI13" s="49"/>
      <c r="AJ13" s="50" t="s">
        <v>36</v>
      </c>
      <c r="AK13" s="50"/>
      <c r="AL13" s="51">
        <f>AL5*AL6*AL8/8.25</f>
        <v>9.3333333333333339</v>
      </c>
      <c r="AM13" s="51"/>
      <c r="AN13" s="52"/>
      <c r="AO13" s="11"/>
      <c r="AP13" s="12"/>
      <c r="AQ13" s="12" t="s">
        <v>28</v>
      </c>
      <c r="AR13" s="12"/>
      <c r="AS13" s="25">
        <v>3.5</v>
      </c>
      <c r="AT13" s="12" t="s">
        <v>60</v>
      </c>
      <c r="AU13" s="27">
        <v>3.5</v>
      </c>
      <c r="AV13" s="13"/>
      <c r="AW13" s="29"/>
      <c r="AX13" s="30" t="s">
        <v>37</v>
      </c>
      <c r="AY13" s="30"/>
      <c r="AZ13" s="43">
        <f>AZ12*AZ7</f>
        <v>301.81818181818181</v>
      </c>
      <c r="BA13" s="30"/>
      <c r="BB13" s="30"/>
      <c r="BC13" s="11"/>
      <c r="BD13" s="12" t="s">
        <v>46</v>
      </c>
      <c r="BE13" s="12"/>
      <c r="BF13" s="12"/>
      <c r="BG13" s="12"/>
      <c r="BH13" s="94" t="s">
        <v>72</v>
      </c>
      <c r="BI13" s="12"/>
      <c r="BJ13" s="13"/>
    </row>
    <row r="14" spans="1:62">
      <c r="A14" s="122">
        <v>37006</v>
      </c>
      <c r="B14" s="122">
        <f t="shared" si="10"/>
        <v>37011</v>
      </c>
      <c r="C14" s="120">
        <f t="shared" ca="1" si="3"/>
        <v>45772</v>
      </c>
      <c r="D14" s="120">
        <f t="shared" ca="1" si="4"/>
        <v>45777</v>
      </c>
      <c r="E14" s="2">
        <v>0.44</v>
      </c>
      <c r="F14" s="2">
        <v>0.36</v>
      </c>
      <c r="G14" s="2">
        <v>0.3</v>
      </c>
      <c r="H14" s="149">
        <v>1</v>
      </c>
      <c r="K14">
        <f t="shared" si="0"/>
        <v>0.36</v>
      </c>
      <c r="L14">
        <f t="shared" ca="1" si="5"/>
        <v>6</v>
      </c>
      <c r="M14">
        <f t="shared" ca="1" si="6"/>
        <v>2.16</v>
      </c>
      <c r="N14">
        <f t="shared" ca="1" si="1"/>
        <v>6.7500000000000004E-2</v>
      </c>
      <c r="P14" s="11"/>
      <c r="Q14" s="12" t="s">
        <v>139</v>
      </c>
      <c r="R14" s="12"/>
      <c r="S14" s="12"/>
      <c r="T14" s="282" t="s">
        <v>38</v>
      </c>
      <c r="U14" s="283"/>
      <c r="W14">
        <f t="shared" si="7"/>
        <v>0.36</v>
      </c>
      <c r="X14">
        <f t="shared" ca="1" si="8"/>
        <v>0</v>
      </c>
      <c r="Y14">
        <f t="shared" ca="1" si="9"/>
        <v>0</v>
      </c>
      <c r="Z14">
        <f t="shared" ca="1" si="2"/>
        <v>0</v>
      </c>
      <c r="AC14" s="29"/>
      <c r="AD14" s="30" t="s">
        <v>37</v>
      </c>
      <c r="AE14" s="30"/>
      <c r="AF14" s="43">
        <f>AF13*AF8</f>
        <v>340.36363636363637</v>
      </c>
      <c r="AG14" s="43"/>
      <c r="AH14" s="31"/>
      <c r="AI14" s="49"/>
      <c r="AJ14" s="50" t="s">
        <v>37</v>
      </c>
      <c r="AK14" s="50"/>
      <c r="AL14" s="51">
        <f>AL13*AL7</f>
        <v>93.333333333333343</v>
      </c>
      <c r="AM14" s="51"/>
      <c r="AN14" s="52"/>
      <c r="AO14" s="11"/>
      <c r="AP14" s="12"/>
      <c r="AQ14" s="12" t="s">
        <v>26</v>
      </c>
      <c r="AR14" s="12"/>
      <c r="AS14" s="26">
        <v>0.65</v>
      </c>
      <c r="AT14" s="12" t="s">
        <v>31</v>
      </c>
      <c r="AU14" s="12">
        <v>65</v>
      </c>
      <c r="AV14" s="13"/>
      <c r="AW14" s="29"/>
      <c r="AX14" s="30" t="s">
        <v>39</v>
      </c>
      <c r="AY14" s="30"/>
      <c r="AZ14" s="43">
        <f>AZ9/AZ13</f>
        <v>5.3012048192771086</v>
      </c>
      <c r="BA14" s="30"/>
      <c r="BB14" s="30"/>
      <c r="BC14" s="11"/>
      <c r="BD14" s="12"/>
      <c r="BE14" s="12" t="s">
        <v>47</v>
      </c>
      <c r="BF14" s="12"/>
      <c r="BG14" s="25">
        <v>20</v>
      </c>
      <c r="BH14" s="12" t="s">
        <v>48</v>
      </c>
      <c r="BI14" s="59"/>
      <c r="BJ14" s="13"/>
    </row>
    <row r="15" spans="1:62">
      <c r="A15" s="122">
        <v>37012</v>
      </c>
      <c r="B15" s="122">
        <f t="shared" si="10"/>
        <v>37019</v>
      </c>
      <c r="C15" s="120">
        <f t="shared" ca="1" si="3"/>
        <v>45778</v>
      </c>
      <c r="D15" s="120">
        <f t="shared" ca="1" si="4"/>
        <v>45785</v>
      </c>
      <c r="E15" s="2">
        <v>0.44</v>
      </c>
      <c r="F15" s="2">
        <v>0.36</v>
      </c>
      <c r="G15" s="2">
        <v>0.3</v>
      </c>
      <c r="H15" s="149">
        <v>1</v>
      </c>
      <c r="K15">
        <f t="shared" si="0"/>
        <v>0.36</v>
      </c>
      <c r="L15">
        <f t="shared" ca="1" si="5"/>
        <v>8</v>
      </c>
      <c r="M15">
        <f t="shared" ca="1" si="6"/>
        <v>2.88</v>
      </c>
      <c r="N15">
        <f t="shared" ca="1" si="1"/>
        <v>0.09</v>
      </c>
      <c r="P15" s="11"/>
      <c r="Q15" s="12"/>
      <c r="R15" s="12"/>
      <c r="S15" s="12"/>
      <c r="T15" s="12"/>
      <c r="U15" s="13"/>
      <c r="W15">
        <f t="shared" si="7"/>
        <v>0.36</v>
      </c>
      <c r="X15">
        <f t="shared" ca="1" si="8"/>
        <v>0</v>
      </c>
      <c r="Y15">
        <f t="shared" ca="1" si="9"/>
        <v>0</v>
      </c>
      <c r="Z15">
        <f t="shared" ca="1" si="2"/>
        <v>0</v>
      </c>
      <c r="AC15" s="29"/>
      <c r="AD15" s="30" t="s">
        <v>39</v>
      </c>
      <c r="AE15" s="30"/>
      <c r="AF15" s="43">
        <f>AF10/AF14</f>
        <v>4.700854700854701</v>
      </c>
      <c r="AG15" s="43"/>
      <c r="AH15" s="31"/>
      <c r="AI15" s="49"/>
      <c r="AJ15" s="50" t="s">
        <v>39</v>
      </c>
      <c r="AK15" s="50"/>
      <c r="AL15" s="51">
        <f>AL9/AL14</f>
        <v>5.3571428571428568</v>
      </c>
      <c r="AM15" s="51"/>
      <c r="AN15" s="52"/>
      <c r="AO15" s="11"/>
      <c r="AP15" s="12"/>
      <c r="AQ15" s="12"/>
      <c r="AR15" s="12"/>
      <c r="AS15" s="12"/>
      <c r="AT15" s="12"/>
      <c r="AU15" s="12"/>
      <c r="AV15" s="13"/>
      <c r="AW15" s="29"/>
      <c r="AX15" s="30" t="s">
        <v>34</v>
      </c>
      <c r="AY15" s="30"/>
      <c r="AZ15" s="30"/>
      <c r="BA15" s="30"/>
      <c r="BB15" s="30"/>
      <c r="BC15" s="11"/>
      <c r="BD15" s="12"/>
      <c r="BE15" s="12" t="s">
        <v>28</v>
      </c>
      <c r="BF15" s="12"/>
      <c r="BG15" s="25">
        <v>5.5</v>
      </c>
      <c r="BH15" s="12" t="s">
        <v>33</v>
      </c>
      <c r="BI15" s="59">
        <v>5.5</v>
      </c>
      <c r="BJ15" s="13"/>
    </row>
    <row r="16" spans="1:62">
      <c r="A16" s="122">
        <v>37020</v>
      </c>
      <c r="B16" s="122">
        <f t="shared" si="10"/>
        <v>37027</v>
      </c>
      <c r="C16" s="120">
        <f t="shared" ca="1" si="3"/>
        <v>45786</v>
      </c>
      <c r="D16" s="120">
        <f t="shared" ca="1" si="4"/>
        <v>45793</v>
      </c>
      <c r="E16" s="2">
        <v>0.39</v>
      </c>
      <c r="F16" s="2">
        <v>0.28000000000000003</v>
      </c>
      <c r="G16" s="2">
        <v>0.3</v>
      </c>
      <c r="H16" s="149">
        <v>1</v>
      </c>
      <c r="K16">
        <f t="shared" si="0"/>
        <v>0.28000000000000003</v>
      </c>
      <c r="L16">
        <f t="shared" ca="1" si="5"/>
        <v>7</v>
      </c>
      <c r="M16">
        <f t="shared" ca="1" si="6"/>
        <v>1.9600000000000002</v>
      </c>
      <c r="N16">
        <f t="shared" ca="1" si="1"/>
        <v>6.1250000000000006E-2</v>
      </c>
      <c r="P16" s="14"/>
      <c r="Q16" s="15"/>
      <c r="R16" s="15"/>
      <c r="S16" s="15"/>
      <c r="T16" s="15"/>
      <c r="U16" s="16"/>
      <c r="W16">
        <f t="shared" si="7"/>
        <v>0.28000000000000003</v>
      </c>
      <c r="X16">
        <f t="shared" ca="1" si="8"/>
        <v>0</v>
      </c>
      <c r="Y16">
        <f t="shared" ca="1" si="9"/>
        <v>0</v>
      </c>
      <c r="Z16">
        <f t="shared" ca="1" si="2"/>
        <v>0</v>
      </c>
      <c r="AC16" s="29"/>
      <c r="AD16" s="30" t="s">
        <v>40</v>
      </c>
      <c r="AE16" s="30"/>
      <c r="AF16" s="30"/>
      <c r="AG16" s="30"/>
      <c r="AH16" s="31"/>
      <c r="AI16" s="49"/>
      <c r="AJ16" s="50" t="s">
        <v>34</v>
      </c>
      <c r="AK16" s="50"/>
      <c r="AL16" s="50"/>
      <c r="AM16" s="50"/>
      <c r="AN16" s="52"/>
      <c r="AO16" s="11"/>
      <c r="AP16" s="12" t="s">
        <v>30</v>
      </c>
      <c r="AQ16" s="12"/>
      <c r="AR16" s="12"/>
      <c r="AS16" s="12"/>
      <c r="AT16" s="12"/>
      <c r="AU16" s="12"/>
      <c r="AV16" s="13"/>
      <c r="AW16" s="29"/>
      <c r="AX16" s="30" t="s">
        <v>69</v>
      </c>
      <c r="AY16" s="30"/>
      <c r="AZ16" s="35">
        <f ca="1">MIN(1-VLOOKUP(INT(AZ14+0.5),$K$47:$M$403,3),0.99)</f>
        <v>0.94496309165064196</v>
      </c>
      <c r="BA16" s="30"/>
      <c r="BB16" s="30"/>
      <c r="BC16" s="11"/>
      <c r="BD16" s="12"/>
      <c r="BE16" s="12" t="s">
        <v>25</v>
      </c>
      <c r="BF16" s="12"/>
      <c r="BG16" s="25">
        <v>12</v>
      </c>
      <c r="BH16" s="12" t="s">
        <v>29</v>
      </c>
      <c r="BI16" s="59"/>
      <c r="BJ16" s="13"/>
    </row>
    <row r="17" spans="1:62">
      <c r="A17" s="122">
        <v>37028</v>
      </c>
      <c r="B17" s="122">
        <f t="shared" si="10"/>
        <v>37035</v>
      </c>
      <c r="C17" s="120">
        <f t="shared" ca="1" si="3"/>
        <v>45794</v>
      </c>
      <c r="D17" s="120">
        <f t="shared" ca="1" si="4"/>
        <v>45801</v>
      </c>
      <c r="E17" s="2">
        <v>0.39</v>
      </c>
      <c r="F17" s="2">
        <v>0.28000000000000003</v>
      </c>
      <c r="G17" s="2">
        <v>0.3</v>
      </c>
      <c r="H17" s="149">
        <v>1</v>
      </c>
      <c r="K17">
        <f t="shared" si="0"/>
        <v>0.28000000000000003</v>
      </c>
      <c r="L17">
        <f t="shared" ca="1" si="5"/>
        <v>0</v>
      </c>
      <c r="M17">
        <f t="shared" ca="1" si="6"/>
        <v>0</v>
      </c>
      <c r="N17">
        <f t="shared" ca="1" si="1"/>
        <v>0</v>
      </c>
      <c r="P17" s="29"/>
      <c r="Q17" s="30"/>
      <c r="R17" s="30"/>
      <c r="S17" s="30"/>
      <c r="T17" s="30"/>
      <c r="U17" s="31"/>
      <c r="W17">
        <f t="shared" si="7"/>
        <v>0.28000000000000003</v>
      </c>
      <c r="X17">
        <f t="shared" ca="1" si="8"/>
        <v>0</v>
      </c>
      <c r="Y17">
        <f t="shared" ca="1" si="9"/>
        <v>0</v>
      </c>
      <c r="Z17">
        <f t="shared" ca="1" si="2"/>
        <v>0</v>
      </c>
      <c r="AC17" s="29"/>
      <c r="AD17" s="30" t="s">
        <v>41</v>
      </c>
      <c r="AE17" s="30"/>
      <c r="AF17" s="35">
        <f ca="1">MIN(1-VLOOKUP(INT(AF15+0.5),$K$47:$M$403,3),0.99)</f>
        <v>0.94496309165064196</v>
      </c>
      <c r="AG17" s="35"/>
      <c r="AH17" s="31"/>
      <c r="AI17" s="49"/>
      <c r="AJ17" s="50" t="s">
        <v>41</v>
      </c>
      <c r="AK17" s="50"/>
      <c r="AL17" s="53">
        <f ca="1">MIN(1-VLOOKUP(INT(AL15+0.5),$K$47:$M$403,3),0.99)</f>
        <v>0.94496309165064196</v>
      </c>
      <c r="AM17" s="53"/>
      <c r="AN17" s="52"/>
      <c r="AO17" s="11"/>
      <c r="AP17" s="12"/>
      <c r="AQ17" s="12" t="s">
        <v>61</v>
      </c>
      <c r="AR17" s="12"/>
      <c r="AS17" s="25">
        <v>1000</v>
      </c>
      <c r="AT17" s="12" t="s">
        <v>32</v>
      </c>
      <c r="AU17" s="12"/>
      <c r="AV17" s="13"/>
      <c r="AW17" s="29"/>
      <c r="AX17" s="30" t="s">
        <v>137</v>
      </c>
      <c r="AY17" s="30"/>
      <c r="AZ17" s="91">
        <f ca="1">AZ14/N43+AA6</f>
        <v>45778.856689917564</v>
      </c>
      <c r="BA17" s="30"/>
      <c r="BB17" s="30"/>
      <c r="BC17" s="11"/>
      <c r="BD17" s="12"/>
      <c r="BE17" s="12" t="s">
        <v>26</v>
      </c>
      <c r="BF17" s="12"/>
      <c r="BG17" s="26">
        <v>0.7</v>
      </c>
      <c r="BH17" s="12" t="s">
        <v>31</v>
      </c>
      <c r="BI17" s="59">
        <v>70</v>
      </c>
      <c r="BJ17" s="13"/>
    </row>
    <row r="18" spans="1:62">
      <c r="A18" s="122">
        <v>37036</v>
      </c>
      <c r="B18" s="122">
        <f t="shared" si="10"/>
        <v>37042</v>
      </c>
      <c r="C18" s="120">
        <f t="shared" ca="1" si="3"/>
        <v>45802</v>
      </c>
      <c r="D18" s="120">
        <f t="shared" ca="1" si="4"/>
        <v>45808</v>
      </c>
      <c r="E18" s="2">
        <v>0.59</v>
      </c>
      <c r="F18" s="2">
        <v>0.46</v>
      </c>
      <c r="G18" s="2">
        <v>0.43</v>
      </c>
      <c r="H18" s="149">
        <v>1</v>
      </c>
      <c r="K18">
        <f t="shared" si="0"/>
        <v>0.46</v>
      </c>
      <c r="L18">
        <f t="shared" ca="1" si="5"/>
        <v>0</v>
      </c>
      <c r="M18">
        <f t="shared" ca="1" si="6"/>
        <v>0</v>
      </c>
      <c r="N18">
        <f t="shared" ca="1" si="1"/>
        <v>0</v>
      </c>
      <c r="P18" s="29"/>
      <c r="Q18" s="30" t="s">
        <v>17</v>
      </c>
      <c r="R18" s="30"/>
      <c r="S18" s="30"/>
      <c r="T18" s="30"/>
      <c r="U18" s="39">
        <f ca="1">MAX(INT(T19/5+0.5),1)</f>
        <v>6</v>
      </c>
      <c r="W18">
        <f t="shared" si="7"/>
        <v>0.46</v>
      </c>
      <c r="X18">
        <f t="shared" ca="1" si="8"/>
        <v>0</v>
      </c>
      <c r="Y18">
        <f t="shared" ca="1" si="9"/>
        <v>0</v>
      </c>
      <c r="Z18">
        <f t="shared" ca="1" si="2"/>
        <v>0</v>
      </c>
      <c r="AC18" s="29"/>
      <c r="AD18" s="30" t="s">
        <v>137</v>
      </c>
      <c r="AE18" s="30"/>
      <c r="AF18" s="91">
        <f ca="1">AF15/N43+AA6</f>
        <v>45776.834457939724</v>
      </c>
      <c r="AG18" s="30"/>
      <c r="AH18" s="31"/>
      <c r="AI18" s="49"/>
      <c r="AJ18" s="50" t="s">
        <v>137</v>
      </c>
      <c r="AK18" s="50"/>
      <c r="AL18" s="92">
        <f ca="1">AL15/N43+AA6</f>
        <v>45779.045112781954</v>
      </c>
      <c r="AM18" s="50"/>
      <c r="AN18" s="52"/>
      <c r="AO18" s="11"/>
      <c r="AP18" s="12"/>
      <c r="AQ18" s="12" t="s">
        <v>58</v>
      </c>
      <c r="AR18" s="12"/>
      <c r="AS18" s="25">
        <v>1000</v>
      </c>
      <c r="AT18" s="12" t="s">
        <v>32</v>
      </c>
      <c r="AU18" s="12"/>
      <c r="AV18" s="13"/>
      <c r="AW18" s="36"/>
      <c r="AX18" s="37"/>
      <c r="AY18" s="37"/>
      <c r="AZ18" s="37"/>
      <c r="BA18" s="37"/>
      <c r="BB18" s="37"/>
      <c r="BC18" s="11"/>
      <c r="BD18" s="12"/>
      <c r="BE18" s="12" t="s">
        <v>30</v>
      </c>
      <c r="BF18" s="12"/>
      <c r="BG18" s="25">
        <v>400</v>
      </c>
      <c r="BH18" s="12" t="s">
        <v>32</v>
      </c>
      <c r="BI18" s="59"/>
      <c r="BJ18" s="13"/>
    </row>
    <row r="19" spans="1:62">
      <c r="A19" s="122">
        <v>37043</v>
      </c>
      <c r="B19" s="122">
        <f t="shared" si="10"/>
        <v>37050</v>
      </c>
      <c r="C19" s="120">
        <f t="shared" ca="1" si="3"/>
        <v>45809</v>
      </c>
      <c r="D19" s="120">
        <f t="shared" ca="1" si="4"/>
        <v>45816</v>
      </c>
      <c r="E19" s="2">
        <v>0.59</v>
      </c>
      <c r="F19" s="2">
        <v>0.46</v>
      </c>
      <c r="G19" s="2">
        <v>0.43</v>
      </c>
      <c r="H19" s="149">
        <v>1</v>
      </c>
      <c r="K19">
        <f t="shared" si="0"/>
        <v>0.46</v>
      </c>
      <c r="L19">
        <f t="shared" ca="1" si="5"/>
        <v>0</v>
      </c>
      <c r="M19">
        <f t="shared" ca="1" si="6"/>
        <v>0</v>
      </c>
      <c r="N19">
        <f t="shared" ca="1" si="1"/>
        <v>0</v>
      </c>
      <c r="P19" s="29"/>
      <c r="Q19" s="30"/>
      <c r="R19" s="30"/>
      <c r="S19" s="30" t="s">
        <v>12</v>
      </c>
      <c r="T19" s="32">
        <f ca="1">AA7-AA6+1</f>
        <v>32</v>
      </c>
      <c r="U19" s="31" t="s">
        <v>18</v>
      </c>
      <c r="W19">
        <f t="shared" si="7"/>
        <v>0.46</v>
      </c>
      <c r="X19">
        <f t="shared" ca="1" si="8"/>
        <v>0</v>
      </c>
      <c r="Y19">
        <f t="shared" ca="1" si="9"/>
        <v>0</v>
      </c>
      <c r="Z19">
        <f t="shared" ca="1" si="2"/>
        <v>0</v>
      </c>
      <c r="AC19" s="29"/>
      <c r="AD19" s="30"/>
      <c r="AE19" s="30"/>
      <c r="AF19" s="30"/>
      <c r="AG19" s="30"/>
      <c r="AH19" s="31"/>
      <c r="AI19" s="49"/>
      <c r="AJ19" s="50"/>
      <c r="AK19" s="50"/>
      <c r="AL19" s="50"/>
      <c r="AM19" s="50"/>
      <c r="AN19" s="52"/>
      <c r="AO19" s="11"/>
      <c r="AP19" s="12"/>
      <c r="AQ19" s="12"/>
      <c r="AR19" s="12"/>
      <c r="AS19" s="12"/>
      <c r="AT19" s="12"/>
      <c r="AU19" s="12"/>
      <c r="AV19" s="13"/>
      <c r="BC19" s="14"/>
      <c r="BD19" s="15"/>
      <c r="BE19" s="15"/>
      <c r="BF19" s="15"/>
      <c r="BG19" s="15"/>
      <c r="BH19" s="15"/>
      <c r="BI19" s="15"/>
      <c r="BJ19" s="16"/>
    </row>
    <row r="20" spans="1:62">
      <c r="A20" s="122">
        <v>37051</v>
      </c>
      <c r="B20" s="122">
        <f t="shared" si="10"/>
        <v>37058</v>
      </c>
      <c r="C20" s="120">
        <f t="shared" ca="1" si="3"/>
        <v>45817</v>
      </c>
      <c r="D20" s="120">
        <f t="shared" ca="1" si="4"/>
        <v>45824</v>
      </c>
      <c r="E20" s="2">
        <v>0.46</v>
      </c>
      <c r="F20" s="2">
        <v>0.46</v>
      </c>
      <c r="G20" s="2">
        <v>0.5</v>
      </c>
      <c r="H20" s="149">
        <v>1</v>
      </c>
      <c r="K20">
        <f t="shared" si="0"/>
        <v>0.46</v>
      </c>
      <c r="L20">
        <f t="shared" ca="1" si="5"/>
        <v>0</v>
      </c>
      <c r="M20">
        <f t="shared" ca="1" si="6"/>
        <v>0</v>
      </c>
      <c r="N20">
        <f t="shared" ca="1" si="1"/>
        <v>0</v>
      </c>
      <c r="P20" s="29"/>
      <c r="Q20" s="30" t="s">
        <v>16</v>
      </c>
      <c r="R20" s="30"/>
      <c r="S20" s="30"/>
      <c r="T20" s="32">
        <f ca="1">SUM(M10:M42)</f>
        <v>9.5</v>
      </c>
      <c r="U20" s="31" t="s">
        <v>18</v>
      </c>
      <c r="W20">
        <f t="shared" si="7"/>
        <v>0.46</v>
      </c>
      <c r="X20">
        <f t="shared" ca="1" si="8"/>
        <v>0</v>
      </c>
      <c r="Y20">
        <f t="shared" ca="1" si="9"/>
        <v>0</v>
      </c>
      <c r="Z20">
        <f t="shared" ca="1" si="2"/>
        <v>0</v>
      </c>
      <c r="AC20" s="29"/>
      <c r="AD20" s="30" t="s">
        <v>40</v>
      </c>
      <c r="AE20" s="30"/>
      <c r="AF20" s="30"/>
      <c r="AG20" s="30"/>
      <c r="AH20" s="31"/>
      <c r="AI20" s="49"/>
      <c r="AJ20" s="50" t="s">
        <v>34</v>
      </c>
      <c r="AK20" s="50"/>
      <c r="AL20" s="50"/>
      <c r="AM20" s="50"/>
      <c r="AN20" s="52"/>
      <c r="AO20" s="11"/>
      <c r="AP20" s="12" t="s">
        <v>25</v>
      </c>
      <c r="AQ20" s="12"/>
      <c r="AR20" s="12"/>
      <c r="AS20" s="12"/>
      <c r="AT20" s="12"/>
      <c r="AU20" s="12"/>
      <c r="AV20" s="13"/>
      <c r="BC20" s="29"/>
      <c r="BD20" s="30"/>
      <c r="BE20" s="30"/>
      <c r="BF20" s="30"/>
      <c r="BG20" s="30"/>
      <c r="BH20" s="30"/>
      <c r="BI20" s="30"/>
      <c r="BJ20" s="31"/>
    </row>
    <row r="21" spans="1:62">
      <c r="A21" s="122">
        <v>37059</v>
      </c>
      <c r="B21" s="122">
        <f t="shared" si="10"/>
        <v>37066</v>
      </c>
      <c r="C21" s="120">
        <f t="shared" ca="1" si="3"/>
        <v>45825</v>
      </c>
      <c r="D21" s="120">
        <f t="shared" ca="1" si="4"/>
        <v>45832</v>
      </c>
      <c r="E21" s="2">
        <v>0.46</v>
      </c>
      <c r="F21" s="2">
        <v>0.46</v>
      </c>
      <c r="G21" s="2">
        <v>0.5</v>
      </c>
      <c r="H21" s="149">
        <v>1</v>
      </c>
      <c r="K21">
        <f t="shared" si="0"/>
        <v>0.46</v>
      </c>
      <c r="L21">
        <f t="shared" ca="1" si="5"/>
        <v>0</v>
      </c>
      <c r="M21">
        <f t="shared" ca="1" si="6"/>
        <v>0</v>
      </c>
      <c r="N21">
        <f t="shared" ca="1" si="1"/>
        <v>0</v>
      </c>
      <c r="P21" s="29"/>
      <c r="Q21" s="30"/>
      <c r="R21" s="30"/>
      <c r="S21" s="30"/>
      <c r="T21" s="30"/>
      <c r="U21" s="31"/>
      <c r="W21">
        <f t="shared" si="7"/>
        <v>0.46</v>
      </c>
      <c r="X21">
        <f t="shared" ca="1" si="8"/>
        <v>0</v>
      </c>
      <c r="Y21">
        <f t="shared" ca="1" si="9"/>
        <v>0</v>
      </c>
      <c r="Z21">
        <f t="shared" ca="1" si="2"/>
        <v>0</v>
      </c>
      <c r="AC21" s="29"/>
      <c r="AD21" s="30" t="s">
        <v>140</v>
      </c>
      <c r="AE21" s="30"/>
      <c r="AF21" s="33" t="s">
        <v>13</v>
      </c>
      <c r="AG21" s="33"/>
      <c r="AH21" s="31"/>
      <c r="AI21" s="49"/>
      <c r="AJ21" s="50" t="s">
        <v>140</v>
      </c>
      <c r="AK21" s="50"/>
      <c r="AL21" s="54" t="s">
        <v>13</v>
      </c>
      <c r="AM21" s="54"/>
      <c r="AN21" s="52"/>
      <c r="AO21" s="11"/>
      <c r="AP21" s="12"/>
      <c r="AQ21" s="12" t="s">
        <v>61</v>
      </c>
      <c r="AR21" s="12"/>
      <c r="AS21" s="25">
        <v>10</v>
      </c>
      <c r="AT21" s="12" t="s">
        <v>29</v>
      </c>
      <c r="AU21" s="12"/>
      <c r="AV21" s="13"/>
      <c r="BC21" s="29"/>
      <c r="BD21" s="30" t="s">
        <v>38</v>
      </c>
      <c r="BE21" s="30"/>
      <c r="BF21" s="30"/>
      <c r="BG21" s="30"/>
      <c r="BH21" s="30"/>
      <c r="BI21" s="30"/>
      <c r="BJ21" s="31"/>
    </row>
    <row r="22" spans="1:62">
      <c r="A22" s="122">
        <v>37067</v>
      </c>
      <c r="B22" s="122">
        <f t="shared" si="10"/>
        <v>37072</v>
      </c>
      <c r="C22" s="120">
        <f t="shared" ca="1" si="3"/>
        <v>45833</v>
      </c>
      <c r="D22" s="120">
        <f t="shared" ca="1" si="4"/>
        <v>45838</v>
      </c>
      <c r="E22" s="2">
        <v>0.61</v>
      </c>
      <c r="F22" s="2">
        <v>0.51</v>
      </c>
      <c r="G22" s="2">
        <v>0.56999999999999995</v>
      </c>
      <c r="H22" s="149">
        <v>1</v>
      </c>
      <c r="K22">
        <f t="shared" si="0"/>
        <v>0.51</v>
      </c>
      <c r="L22">
        <f t="shared" ca="1" si="5"/>
        <v>0</v>
      </c>
      <c r="M22">
        <f t="shared" ca="1" si="6"/>
        <v>0</v>
      </c>
      <c r="N22">
        <f t="shared" ca="1" si="1"/>
        <v>0</v>
      </c>
      <c r="P22" s="29"/>
      <c r="Q22" s="30" t="s">
        <v>14</v>
      </c>
      <c r="R22" s="30"/>
      <c r="S22" s="30"/>
      <c r="T22" s="33" t="s">
        <v>13</v>
      </c>
      <c r="U22" s="31"/>
      <c r="W22">
        <f t="shared" si="7"/>
        <v>0.51</v>
      </c>
      <c r="X22">
        <f t="shared" ca="1" si="8"/>
        <v>0</v>
      </c>
      <c r="Y22">
        <f t="shared" ca="1" si="9"/>
        <v>0</v>
      </c>
      <c r="Z22">
        <f t="shared" ca="1" si="2"/>
        <v>0</v>
      </c>
      <c r="AC22" s="29"/>
      <c r="AD22" s="38">
        <f>$AF$10/((8*$AF$5/12)*$AF$7*$AF$9/8.25*$AF$8)</f>
        <v>14.1025641025641</v>
      </c>
      <c r="AE22" s="33" t="s">
        <v>42</v>
      </c>
      <c r="AF22" s="35">
        <f ca="1">MIN(0.99,1-VLOOKUP(INT(AD22+0.5),$K$47:$M$403,3))</f>
        <v>2.9874755156095945E-2</v>
      </c>
      <c r="AG22" s="35"/>
      <c r="AH22" s="31"/>
      <c r="AI22" s="49"/>
      <c r="AJ22" s="38">
        <f>$AL$9/((15*$AL$6*$AL$8/8.25)*$AL$7)</f>
        <v>7.1428571428571441</v>
      </c>
      <c r="AK22" s="54" t="s">
        <v>50</v>
      </c>
      <c r="AL22" s="53">
        <f ca="1">MIN(1-VLOOKUP(INT(AJ22+0.5),$K$47:$M$403,3),0.99)</f>
        <v>0.77702624736810222</v>
      </c>
      <c r="AM22" s="53"/>
      <c r="AN22" s="52"/>
      <c r="AO22" s="11"/>
      <c r="AP22" s="12"/>
      <c r="AQ22" s="12" t="s">
        <v>58</v>
      </c>
      <c r="AR22" s="12"/>
      <c r="AS22" s="25">
        <v>10</v>
      </c>
      <c r="AT22" s="12" t="s">
        <v>29</v>
      </c>
      <c r="AU22" s="12"/>
      <c r="AV22" s="13"/>
      <c r="BC22" s="29"/>
      <c r="BD22" s="30"/>
      <c r="BE22" s="30" t="s">
        <v>36</v>
      </c>
      <c r="BF22" s="30"/>
      <c r="BG22" s="43">
        <f>((BG6*BG7/12)*BG8*BG10)/8.25</f>
        <v>20.363636363636363</v>
      </c>
      <c r="BH22" s="38">
        <f>((6*$AS$7/12)*$AS$8*$AS$9)/8.25</f>
        <v>4.1363636363636367</v>
      </c>
      <c r="BI22" s="38">
        <f>((8*$AS$7/12)*$AS$8*$AS$9)/8.25</f>
        <v>5.5151515151515156</v>
      </c>
      <c r="BJ22" s="39">
        <f>((12*$AS$7/12)*$AS$8*$AS$9)/8.25</f>
        <v>8.2727272727272734</v>
      </c>
    </row>
    <row r="23" spans="1:62">
      <c r="A23" s="122">
        <v>37073</v>
      </c>
      <c r="B23" s="122">
        <f t="shared" si="10"/>
        <v>37080</v>
      </c>
      <c r="C23" s="120">
        <f t="shared" ca="1" si="3"/>
        <v>45839</v>
      </c>
      <c r="D23" s="120">
        <f t="shared" ca="1" si="4"/>
        <v>45846</v>
      </c>
      <c r="E23" s="2">
        <v>0.61</v>
      </c>
      <c r="F23" s="2">
        <v>0.51</v>
      </c>
      <c r="G23" s="2">
        <v>0.56999999999999995</v>
      </c>
      <c r="H23" s="149">
        <v>1</v>
      </c>
      <c r="K23">
        <f t="shared" si="0"/>
        <v>0.51</v>
      </c>
      <c r="L23">
        <f t="shared" ca="1" si="5"/>
        <v>0</v>
      </c>
      <c r="M23">
        <f t="shared" ca="1" si="6"/>
        <v>0</v>
      </c>
      <c r="N23">
        <f t="shared" ca="1" si="1"/>
        <v>0</v>
      </c>
      <c r="P23" s="34">
        <v>0</v>
      </c>
      <c r="Q23" s="38">
        <f ca="1">U18</f>
        <v>6</v>
      </c>
      <c r="R23" s="30"/>
      <c r="S23" s="33" t="str">
        <f ca="1">P23&amp;+" and "&amp;Q23</f>
        <v>0 and 6</v>
      </c>
      <c r="T23" s="35">
        <f ca="1">VLOOKUP(Q23,$K$47:$M$403,3)</f>
        <v>0.12042640890436429</v>
      </c>
      <c r="U23" s="31"/>
      <c r="W23">
        <f t="shared" si="7"/>
        <v>0.51</v>
      </c>
      <c r="X23">
        <f t="shared" ca="1" si="8"/>
        <v>0</v>
      </c>
      <c r="Y23">
        <f t="shared" ca="1" si="9"/>
        <v>0</v>
      </c>
      <c r="Z23">
        <f t="shared" ca="1" si="2"/>
        <v>0</v>
      </c>
      <c r="AC23" s="29"/>
      <c r="AD23" s="38">
        <f>$AF$10/((12*$AF$5/12)*$AF$7*$AF$9/8.25*$AF$8)</f>
        <v>9.4017094017094021</v>
      </c>
      <c r="AE23" s="33" t="s">
        <v>43</v>
      </c>
      <c r="AF23" s="35">
        <f ca="1">MIN(1-VLOOKUP(INT(AD23+0.5),$K$47:$M$403,3),0.99)</f>
        <v>0.48937672815707334</v>
      </c>
      <c r="AG23" s="35"/>
      <c r="AH23" s="31"/>
      <c r="AI23" s="49"/>
      <c r="AJ23" s="38">
        <f>$AL$9/((20*$AL$6*$AL$8/8.25)*$AL$7)</f>
        <v>5.3571428571428568</v>
      </c>
      <c r="AK23" s="54" t="s">
        <v>51</v>
      </c>
      <c r="AL23" s="53">
        <f ca="1">MIN(1-VLOOKUP(INT(AJ23+0.5),$K$47:$M$403,3),0.99)</f>
        <v>0.94496309165064196</v>
      </c>
      <c r="AM23" s="53"/>
      <c r="AN23" s="52"/>
      <c r="AO23" s="14"/>
      <c r="AP23" s="15"/>
      <c r="AQ23" s="15"/>
      <c r="AR23" s="15"/>
      <c r="AS23" s="15"/>
      <c r="AT23" s="15"/>
      <c r="AU23" s="15"/>
      <c r="AV23" s="16"/>
      <c r="BC23" s="29"/>
      <c r="BD23" s="30"/>
      <c r="BE23" s="30" t="s">
        <v>37</v>
      </c>
      <c r="BF23" s="30"/>
      <c r="BG23" s="43">
        <f>BG22*BG9</f>
        <v>244.36363636363637</v>
      </c>
      <c r="BH23" s="38">
        <f>BH22*$AS$21</f>
        <v>41.363636363636367</v>
      </c>
      <c r="BI23" s="38">
        <f>BI22*$AS$21</f>
        <v>55.151515151515156</v>
      </c>
      <c r="BJ23" s="39">
        <f>BJ22*$AS$21</f>
        <v>82.727272727272734</v>
      </c>
    </row>
    <row r="24" spans="1:62">
      <c r="A24" s="122">
        <v>37081</v>
      </c>
      <c r="B24" s="122">
        <f t="shared" si="10"/>
        <v>37088</v>
      </c>
      <c r="C24" s="120">
        <f t="shared" ca="1" si="3"/>
        <v>45847</v>
      </c>
      <c r="D24" s="120">
        <f t="shared" ca="1" si="4"/>
        <v>45854</v>
      </c>
      <c r="E24" s="2">
        <v>0.64</v>
      </c>
      <c r="F24" s="2">
        <v>0.6</v>
      </c>
      <c r="G24" s="2">
        <v>0.62</v>
      </c>
      <c r="H24" s="149">
        <v>1</v>
      </c>
      <c r="K24">
        <f t="shared" si="0"/>
        <v>0.6</v>
      </c>
      <c r="L24">
        <f t="shared" ca="1" si="5"/>
        <v>0</v>
      </c>
      <c r="M24">
        <f t="shared" ca="1" si="6"/>
        <v>0</v>
      </c>
      <c r="N24">
        <f t="shared" ca="1" si="1"/>
        <v>0</v>
      </c>
      <c r="P24" s="34">
        <f ca="1">Q23+1</f>
        <v>7</v>
      </c>
      <c r="Q24" s="38">
        <f ca="1">Q23+$U$18</f>
        <v>12</v>
      </c>
      <c r="R24" s="30"/>
      <c r="S24" s="33" t="str">
        <f ca="1">P24&amp;+" and "&amp;Q24</f>
        <v>7 and 12</v>
      </c>
      <c r="T24" s="35">
        <f ca="1">VLOOKUP(Q24,$K$47:$M$403,3)-VLOOKUP(Q23,$K$47:$M$403,3)</f>
        <v>0.75537850385899941</v>
      </c>
      <c r="U24" s="31"/>
      <c r="W24">
        <f t="shared" si="7"/>
        <v>0.6</v>
      </c>
      <c r="X24">
        <f t="shared" ca="1" si="8"/>
        <v>0</v>
      </c>
      <c r="Y24">
        <f t="shared" ca="1" si="9"/>
        <v>0</v>
      </c>
      <c r="Z24">
        <f t="shared" ca="1" si="2"/>
        <v>0</v>
      </c>
      <c r="AC24" s="29"/>
      <c r="AD24" s="38">
        <f>$AF$10/((16*$AF$5/12)*$AF$7*$AF$9/8.25*$AF$8)</f>
        <v>7.0512820512820502</v>
      </c>
      <c r="AE24" s="33" t="s">
        <v>44</v>
      </c>
      <c r="AF24" s="35">
        <f ca="1">MIN(0.99,1-VLOOKUP(INT(AD24+0.5),$K$47:$M$403,3))</f>
        <v>0.77702624736810222</v>
      </c>
      <c r="AG24" s="35"/>
      <c r="AH24" s="31"/>
      <c r="AI24" s="49"/>
      <c r="AJ24" s="38">
        <f>$AL$9/((25*$AL$6*$AL$8/8.25)*$AL$7)</f>
        <v>4.2857142857142865</v>
      </c>
      <c r="AK24" s="54" t="s">
        <v>52</v>
      </c>
      <c r="AL24" s="53">
        <f ca="1">MIN(1-VLOOKUP(INT(AJ24+0.5),$K$47:$M$403,3),0.99)</f>
        <v>0.97937861825853989</v>
      </c>
      <c r="AM24" s="53"/>
      <c r="AN24" s="52"/>
      <c r="AO24" s="40"/>
      <c r="AP24" s="41"/>
      <c r="AQ24" s="41"/>
      <c r="AR24" s="41"/>
      <c r="AS24" s="41"/>
      <c r="AT24" s="41"/>
      <c r="AU24" s="41"/>
      <c r="AV24" s="42"/>
      <c r="BC24" s="29"/>
      <c r="BD24" s="30"/>
      <c r="BE24" s="30" t="s">
        <v>39</v>
      </c>
      <c r="BF24" s="30"/>
      <c r="BG24" s="43">
        <f>BG11/BG23</f>
        <v>1.6369047619047619</v>
      </c>
      <c r="BH24" s="38">
        <f>$AS$17/BH23</f>
        <v>24.175824175824175</v>
      </c>
      <c r="BI24" s="38">
        <f>$AS$17/BI23</f>
        <v>18.131868131868131</v>
      </c>
      <c r="BJ24" s="39">
        <f>$AS$17/BJ23</f>
        <v>12.087912087912088</v>
      </c>
    </row>
    <row r="25" spans="1:62">
      <c r="A25" s="122">
        <v>37089</v>
      </c>
      <c r="B25" s="122">
        <f t="shared" si="10"/>
        <v>37096</v>
      </c>
      <c r="C25" s="120">
        <f t="shared" ca="1" si="3"/>
        <v>45855</v>
      </c>
      <c r="D25" s="120">
        <f t="shared" ca="1" si="4"/>
        <v>45862</v>
      </c>
      <c r="E25" s="2">
        <v>0.64</v>
      </c>
      <c r="F25" s="2">
        <v>0.6</v>
      </c>
      <c r="G25" s="2">
        <v>0.62</v>
      </c>
      <c r="H25" s="149">
        <v>1</v>
      </c>
      <c r="K25">
        <f t="shared" si="0"/>
        <v>0.6</v>
      </c>
      <c r="L25">
        <f t="shared" ca="1" si="5"/>
        <v>0</v>
      </c>
      <c r="M25">
        <f t="shared" ca="1" si="6"/>
        <v>0</v>
      </c>
      <c r="N25">
        <f t="shared" ca="1" si="1"/>
        <v>0</v>
      </c>
      <c r="P25" s="34">
        <f ca="1">Q24+1</f>
        <v>13</v>
      </c>
      <c r="Q25" s="38">
        <f ca="1">Q24+$U$18</f>
        <v>18</v>
      </c>
      <c r="R25" s="30"/>
      <c r="S25" s="33" t="str">
        <f ca="1">P25&amp;+" and "&amp;Q25</f>
        <v>13 and 18</v>
      </c>
      <c r="T25" s="35">
        <f ca="1">VLOOKUP(Q25,$K$47:$M$403,3)-VLOOKUP(Q24,$K$47:$M$403,3)</f>
        <v>0.12373386122643015</v>
      </c>
      <c r="U25" s="31"/>
      <c r="W25">
        <f t="shared" si="7"/>
        <v>0.6</v>
      </c>
      <c r="X25">
        <f t="shared" ca="1" si="8"/>
        <v>0</v>
      </c>
      <c r="Y25">
        <f t="shared" ca="1" si="9"/>
        <v>0</v>
      </c>
      <c r="Z25">
        <f t="shared" ca="1" si="2"/>
        <v>0</v>
      </c>
      <c r="AC25" s="29"/>
      <c r="AD25" s="38">
        <f>$AF$10/((24*$AF$5/12)*$AF$7*$AF$9/8.25*$AF$8)</f>
        <v>4.700854700854701</v>
      </c>
      <c r="AE25" s="33" t="s">
        <v>45</v>
      </c>
      <c r="AF25" s="35">
        <f ca="1">MIN(1-VLOOKUP(INT(AD25+0.5),$K$47:$M$403,3),0.99)</f>
        <v>0.94496309165064196</v>
      </c>
      <c r="AG25" s="35"/>
      <c r="AH25" s="31"/>
      <c r="AI25" s="49"/>
      <c r="AJ25" s="38">
        <f>$AL$9/((30*$AL$6*$AL$8/8.25)*$AL$7)</f>
        <v>3.5714285714285721</v>
      </c>
      <c r="AK25" s="54" t="s">
        <v>53</v>
      </c>
      <c r="AL25" s="53">
        <f ca="1">MIN(1-VLOOKUP(INT(AJ25+0.5),$K$47:$M$403,3),0.99)</f>
        <v>0.97937861825853989</v>
      </c>
      <c r="AM25" s="53"/>
      <c r="AN25" s="52"/>
      <c r="AO25" s="29"/>
      <c r="AP25" s="30" t="s">
        <v>61</v>
      </c>
      <c r="AQ25" s="30"/>
      <c r="AR25" s="30"/>
      <c r="AS25" s="30"/>
      <c r="AT25" s="30"/>
      <c r="AU25" s="30"/>
      <c r="AV25" s="31"/>
      <c r="BC25" s="29"/>
      <c r="BD25" s="30"/>
      <c r="BE25" s="30"/>
      <c r="BF25" s="30"/>
      <c r="BG25" s="30"/>
      <c r="BH25" s="38"/>
      <c r="BI25" s="38"/>
      <c r="BJ25" s="39"/>
    </row>
    <row r="26" spans="1:62">
      <c r="A26" s="122">
        <v>37097</v>
      </c>
      <c r="B26" s="122">
        <f t="shared" si="10"/>
        <v>37103</v>
      </c>
      <c r="C26" s="120">
        <f t="shared" ca="1" si="3"/>
        <v>45863</v>
      </c>
      <c r="D26" s="120">
        <f t="shared" ca="1" si="4"/>
        <v>45869</v>
      </c>
      <c r="E26" s="2">
        <v>0.64</v>
      </c>
      <c r="F26" s="2">
        <v>0.6</v>
      </c>
      <c r="G26" s="2">
        <v>0.62</v>
      </c>
      <c r="H26" s="149">
        <v>1</v>
      </c>
      <c r="K26">
        <f t="shared" si="0"/>
        <v>0.6</v>
      </c>
      <c r="L26">
        <f t="shared" ca="1" si="5"/>
        <v>0</v>
      </c>
      <c r="M26">
        <f t="shared" ca="1" si="6"/>
        <v>0</v>
      </c>
      <c r="N26">
        <f t="shared" ca="1" si="1"/>
        <v>0</v>
      </c>
      <c r="P26" s="34">
        <f ca="1">Q25+1</f>
        <v>19</v>
      </c>
      <c r="Q26" s="38">
        <f ca="1">Q25+$U$18</f>
        <v>24</v>
      </c>
      <c r="R26" s="30"/>
      <c r="S26" s="33" t="str">
        <f ca="1">P26&amp;+" and "&amp;Q26</f>
        <v>19 and 24</v>
      </c>
      <c r="T26" s="35">
        <f ca="1">VLOOKUP(Q26,$K$47:$M$403,3)-VLOOKUP(Q25,$K$47:$M$403,3)</f>
        <v>4.6120502605428992E-4</v>
      </c>
      <c r="U26" s="31"/>
      <c r="W26">
        <f t="shared" si="7"/>
        <v>0.6</v>
      </c>
      <c r="X26">
        <f t="shared" ca="1" si="8"/>
        <v>0</v>
      </c>
      <c r="Y26">
        <f t="shared" ca="1" si="9"/>
        <v>0</v>
      </c>
      <c r="Z26">
        <f t="shared" ca="1" si="2"/>
        <v>0</v>
      </c>
      <c r="AC26" s="36"/>
      <c r="AD26" s="37"/>
      <c r="AE26" s="37"/>
      <c r="AF26" s="37"/>
      <c r="AG26" s="37"/>
      <c r="AH26" s="44"/>
      <c r="AI26" s="55"/>
      <c r="AJ26" s="56"/>
      <c r="AK26" s="56"/>
      <c r="AL26" s="56"/>
      <c r="AM26" s="56"/>
      <c r="AN26" s="97"/>
      <c r="AO26" s="29"/>
      <c r="AP26" s="30"/>
      <c r="AQ26" s="30" t="s">
        <v>36</v>
      </c>
      <c r="AR26" s="30"/>
      <c r="AS26" s="43">
        <f>($AS$6*$AS$7/12*$AS$8*$AS$9)/8.25</f>
        <v>8.2727272727272734</v>
      </c>
      <c r="AT26" s="38">
        <f>((6*$AS$7/12)*$AS$8*$AS$9)/8.25</f>
        <v>4.1363636363636367</v>
      </c>
      <c r="AU26" s="38">
        <f>((8*$AS$7/12)*$AS$8*$AS$9)/8.25</f>
        <v>5.5151515151515156</v>
      </c>
      <c r="AV26" s="39">
        <f>((12*$AS$7/12)*$AS$8*$AS$9)/8.25</f>
        <v>8.2727272727272734</v>
      </c>
      <c r="BC26" s="29"/>
      <c r="BD26" s="30" t="s">
        <v>46</v>
      </c>
      <c r="BE26" s="30"/>
      <c r="BF26" s="30"/>
      <c r="BG26" s="30"/>
      <c r="BH26" s="38"/>
      <c r="BI26" s="38"/>
      <c r="BJ26" s="39"/>
    </row>
    <row r="27" spans="1:62">
      <c r="A27" s="122">
        <v>37104</v>
      </c>
      <c r="B27" s="122">
        <f t="shared" si="10"/>
        <v>37111</v>
      </c>
      <c r="C27" s="120">
        <f t="shared" ca="1" si="3"/>
        <v>45870</v>
      </c>
      <c r="D27" s="120">
        <f t="shared" ca="1" si="4"/>
        <v>45877</v>
      </c>
      <c r="E27" s="2">
        <v>0.64</v>
      </c>
      <c r="F27" s="2">
        <v>0.7</v>
      </c>
      <c r="G27" s="2">
        <v>0.62</v>
      </c>
      <c r="H27" s="149">
        <v>1</v>
      </c>
      <c r="K27">
        <f t="shared" si="0"/>
        <v>0.7</v>
      </c>
      <c r="L27">
        <f t="shared" ca="1" si="5"/>
        <v>0</v>
      </c>
      <c r="M27">
        <f t="shared" ca="1" si="6"/>
        <v>0</v>
      </c>
      <c r="N27">
        <f t="shared" ca="1" si="1"/>
        <v>0</v>
      </c>
      <c r="P27" s="34">
        <f ca="1">Q26+1</f>
        <v>25</v>
      </c>
      <c r="Q27" s="38">
        <f ca="1">Q26+$U$18</f>
        <v>30</v>
      </c>
      <c r="R27" s="30"/>
      <c r="S27" s="33" t="str">
        <f ca="1">P27&amp;+" and "&amp;Q27</f>
        <v>25 and 30</v>
      </c>
      <c r="T27" s="35">
        <f ca="1">VLOOKUP(Q27,$K$47:$M$403,3)-VLOOKUP(Q26,$K$47:$M$403,3)</f>
        <v>2.098415075035831E-8</v>
      </c>
      <c r="U27" s="31"/>
      <c r="W27">
        <f t="shared" si="7"/>
        <v>0.7</v>
      </c>
      <c r="X27">
        <f t="shared" ca="1" si="8"/>
        <v>0</v>
      </c>
      <c r="Y27">
        <f t="shared" ca="1" si="9"/>
        <v>0</v>
      </c>
      <c r="Z27">
        <f t="shared" ca="1" si="2"/>
        <v>0</v>
      </c>
      <c r="AO27" s="29"/>
      <c r="AP27" s="30"/>
      <c r="AQ27" s="30" t="s">
        <v>37</v>
      </c>
      <c r="AR27" s="30"/>
      <c r="AS27" s="43">
        <f>AS26*AS21</f>
        <v>82.727272727272734</v>
      </c>
      <c r="AT27" s="38">
        <f>AT26*$AS$21</f>
        <v>41.363636363636367</v>
      </c>
      <c r="AU27" s="38">
        <f>AU26*$AS$21</f>
        <v>55.151515151515156</v>
      </c>
      <c r="AV27" s="39">
        <f>AV26*$AS$21</f>
        <v>82.727272727272734</v>
      </c>
      <c r="BC27" s="29"/>
      <c r="BD27" s="30"/>
      <c r="BE27" s="30" t="s">
        <v>36</v>
      </c>
      <c r="BF27" s="30"/>
      <c r="BG27" s="43">
        <f>(BG14*BG15*BG17)/8.25</f>
        <v>9.3333333333333339</v>
      </c>
      <c r="BH27" s="38">
        <f>(20*$AS$13*$AS$14)/8.25</f>
        <v>5.5151515151515156</v>
      </c>
      <c r="BI27" s="38">
        <f>(25*$AS$13*$AS$14)/8.25</f>
        <v>6.8939393939393936</v>
      </c>
      <c r="BJ27" s="39">
        <f>(30*$AS$13*$AS$14)/8.25</f>
        <v>8.2727272727272734</v>
      </c>
    </row>
    <row r="28" spans="1:62">
      <c r="A28" s="122">
        <v>37112</v>
      </c>
      <c r="B28" s="122">
        <f t="shared" si="10"/>
        <v>37119</v>
      </c>
      <c r="C28" s="120">
        <f t="shared" ca="1" si="3"/>
        <v>45878</v>
      </c>
      <c r="D28" s="120">
        <f t="shared" ca="1" si="4"/>
        <v>45885</v>
      </c>
      <c r="E28" s="2">
        <v>0.64</v>
      </c>
      <c r="F28" s="2">
        <v>0.7</v>
      </c>
      <c r="G28" s="2">
        <v>0.62</v>
      </c>
      <c r="H28" s="149">
        <v>1</v>
      </c>
      <c r="K28">
        <f t="shared" si="0"/>
        <v>0.7</v>
      </c>
      <c r="L28">
        <f t="shared" ca="1" si="5"/>
        <v>0</v>
      </c>
      <c r="M28">
        <f t="shared" ca="1" si="6"/>
        <v>0</v>
      </c>
      <c r="N28">
        <f t="shared" ca="1" si="1"/>
        <v>0</v>
      </c>
      <c r="P28" s="36"/>
      <c r="Q28" s="37"/>
      <c r="R28" s="37"/>
      <c r="S28" s="37"/>
      <c r="T28" s="37"/>
      <c r="U28" s="44"/>
      <c r="W28">
        <f t="shared" si="7"/>
        <v>0.7</v>
      </c>
      <c r="X28">
        <f t="shared" ca="1" si="8"/>
        <v>0</v>
      </c>
      <c r="Y28">
        <f t="shared" ca="1" si="9"/>
        <v>0</v>
      </c>
      <c r="Z28">
        <f t="shared" ca="1" si="2"/>
        <v>0</v>
      </c>
      <c r="AO28" s="29"/>
      <c r="AP28" s="30"/>
      <c r="AQ28" s="30" t="s">
        <v>39</v>
      </c>
      <c r="AR28" s="30"/>
      <c r="AS28" s="43">
        <f>AS17/AS27</f>
        <v>12.087912087912088</v>
      </c>
      <c r="AT28" s="38">
        <f>$AS$17/AT27</f>
        <v>24.175824175824175</v>
      </c>
      <c r="AU28" s="38">
        <f>$AS$17/AU27</f>
        <v>18.131868131868131</v>
      </c>
      <c r="AV28" s="39">
        <f>$AS$17/AV27</f>
        <v>12.087912087912088</v>
      </c>
      <c r="BC28" s="29"/>
      <c r="BD28" s="30"/>
      <c r="BE28" s="30" t="s">
        <v>37</v>
      </c>
      <c r="BF28" s="30"/>
      <c r="BG28" s="43">
        <f>BG27*BG16</f>
        <v>112</v>
      </c>
      <c r="BH28" s="38">
        <f>BH27*$AS$22</f>
        <v>55.151515151515156</v>
      </c>
      <c r="BI28" s="38">
        <f>BI27*$AS$22</f>
        <v>68.939393939393938</v>
      </c>
      <c r="BJ28" s="39">
        <f>BJ27*$AS$22</f>
        <v>82.727272727272734</v>
      </c>
    </row>
    <row r="29" spans="1:62">
      <c r="A29" s="122">
        <v>37120</v>
      </c>
      <c r="B29" s="122">
        <f t="shared" si="10"/>
        <v>37127</v>
      </c>
      <c r="C29" s="120">
        <f t="shared" ca="1" si="3"/>
        <v>45886</v>
      </c>
      <c r="D29" s="120">
        <f t="shared" ca="1" si="4"/>
        <v>45893</v>
      </c>
      <c r="E29" s="2">
        <v>0.64</v>
      </c>
      <c r="F29" s="2">
        <v>0.7</v>
      </c>
      <c r="G29" s="2">
        <v>0.62</v>
      </c>
      <c r="H29" s="149">
        <v>1</v>
      </c>
      <c r="K29">
        <f t="shared" si="0"/>
        <v>0.7</v>
      </c>
      <c r="L29">
        <f t="shared" ca="1" si="5"/>
        <v>0</v>
      </c>
      <c r="M29">
        <f t="shared" ca="1" si="6"/>
        <v>0</v>
      </c>
      <c r="N29">
        <f t="shared" ca="1" si="1"/>
        <v>0</v>
      </c>
      <c r="R29" s="98" t="s">
        <v>38</v>
      </c>
      <c r="W29">
        <f t="shared" si="7"/>
        <v>0.7</v>
      </c>
      <c r="X29">
        <f t="shared" ca="1" si="8"/>
        <v>0</v>
      </c>
      <c r="Y29">
        <f t="shared" ca="1" si="9"/>
        <v>0</v>
      </c>
      <c r="Z29">
        <f t="shared" ca="1" si="2"/>
        <v>0</v>
      </c>
      <c r="AO29" s="29"/>
      <c r="AP29" s="30"/>
      <c r="AQ29" s="30"/>
      <c r="AR29" s="30"/>
      <c r="AS29" s="30"/>
      <c r="AT29" s="38"/>
      <c r="AU29" s="38"/>
      <c r="AV29" s="39"/>
      <c r="BC29" s="29"/>
      <c r="BD29" s="30"/>
      <c r="BE29" s="30" t="s">
        <v>39</v>
      </c>
      <c r="BF29" s="30"/>
      <c r="BG29" s="43">
        <f>BG18/BG28</f>
        <v>3.5714285714285716</v>
      </c>
      <c r="BH29" s="38">
        <f>$AS$18/BH28</f>
        <v>18.131868131868131</v>
      </c>
      <c r="BI29" s="38">
        <f>$AS$18/BI28</f>
        <v>14.505494505494505</v>
      </c>
      <c r="BJ29" s="39">
        <f>$AS$18/BJ28</f>
        <v>12.087912087912088</v>
      </c>
    </row>
    <row r="30" spans="1:62">
      <c r="A30" s="122">
        <v>37128</v>
      </c>
      <c r="B30" s="122">
        <f t="shared" si="10"/>
        <v>37134</v>
      </c>
      <c r="C30" s="120">
        <f t="shared" ca="1" si="3"/>
        <v>45894</v>
      </c>
      <c r="D30" s="120">
        <f t="shared" ca="1" si="4"/>
        <v>45900</v>
      </c>
      <c r="E30" s="2">
        <v>0.64</v>
      </c>
      <c r="F30" s="2">
        <v>0.7</v>
      </c>
      <c r="G30" s="2">
        <v>0.62</v>
      </c>
      <c r="H30" s="149">
        <v>1</v>
      </c>
      <c r="K30">
        <f t="shared" si="0"/>
        <v>0.7</v>
      </c>
      <c r="L30">
        <f t="shared" ca="1" si="5"/>
        <v>0</v>
      </c>
      <c r="M30">
        <f t="shared" ca="1" si="6"/>
        <v>0</v>
      </c>
      <c r="N30">
        <f t="shared" ca="1" si="1"/>
        <v>0</v>
      </c>
      <c r="R30" s="98" t="s">
        <v>46</v>
      </c>
      <c r="W30">
        <f t="shared" si="7"/>
        <v>0.7</v>
      </c>
      <c r="X30">
        <f t="shared" ca="1" si="8"/>
        <v>0</v>
      </c>
      <c r="Y30">
        <f t="shared" ca="1" si="9"/>
        <v>0</v>
      </c>
      <c r="Z30">
        <f t="shared" ca="1" si="2"/>
        <v>0</v>
      </c>
      <c r="AO30" s="29"/>
      <c r="AP30" s="30" t="s">
        <v>58</v>
      </c>
      <c r="AQ30" s="30"/>
      <c r="AR30" s="30"/>
      <c r="AS30" s="30"/>
      <c r="AT30" s="38"/>
      <c r="AU30" s="38"/>
      <c r="AV30" s="39"/>
      <c r="BC30" s="29"/>
      <c r="BD30" s="30"/>
      <c r="BE30" s="30"/>
      <c r="BF30" s="30"/>
      <c r="BG30" s="30"/>
      <c r="BH30" s="38"/>
      <c r="BI30" s="38"/>
      <c r="BJ30" s="39"/>
    </row>
    <row r="31" spans="1:62">
      <c r="A31" s="122">
        <v>37135</v>
      </c>
      <c r="B31" s="122">
        <f t="shared" si="10"/>
        <v>37142</v>
      </c>
      <c r="C31" s="120">
        <f t="shared" ca="1" si="3"/>
        <v>45901</v>
      </c>
      <c r="D31" s="120">
        <f t="shared" ca="1" si="4"/>
        <v>45908</v>
      </c>
      <c r="E31" s="2">
        <v>0.66</v>
      </c>
      <c r="F31" s="2">
        <v>0.7</v>
      </c>
      <c r="G31" s="2">
        <v>0.68</v>
      </c>
      <c r="H31" s="149">
        <v>1</v>
      </c>
      <c r="K31">
        <f t="shared" si="0"/>
        <v>0.7</v>
      </c>
      <c r="L31">
        <f t="shared" ca="1" si="5"/>
        <v>0</v>
      </c>
      <c r="M31">
        <f t="shared" ca="1" si="6"/>
        <v>0</v>
      </c>
      <c r="N31">
        <f t="shared" ca="1" si="1"/>
        <v>0</v>
      </c>
      <c r="R31" s="98" t="s">
        <v>142</v>
      </c>
      <c r="W31">
        <f t="shared" si="7"/>
        <v>0.7</v>
      </c>
      <c r="X31">
        <f t="shared" ca="1" si="8"/>
        <v>0</v>
      </c>
      <c r="Y31">
        <f t="shared" ca="1" si="9"/>
        <v>0</v>
      </c>
      <c r="Z31">
        <f t="shared" ca="1" si="2"/>
        <v>0</v>
      </c>
      <c r="AO31" s="29"/>
      <c r="AP31" s="30"/>
      <c r="AQ31" s="30" t="s">
        <v>36</v>
      </c>
      <c r="AR31" s="30"/>
      <c r="AS31" s="43">
        <f>AS12*AS13*AS14/8.25</f>
        <v>8.2727272727272734</v>
      </c>
      <c r="AT31" s="38">
        <f>(20*$AS$13*$AS$14)/8.25</f>
        <v>5.5151515151515156</v>
      </c>
      <c r="AU31" s="38">
        <f>(25*$AS$13*$AS$14)/8.25</f>
        <v>6.8939393939393936</v>
      </c>
      <c r="AV31" s="39">
        <f>(30*$AS$13*$AS$14)/8.25</f>
        <v>8.2727272727272734</v>
      </c>
      <c r="BC31" s="29"/>
      <c r="BD31" s="30" t="s">
        <v>62</v>
      </c>
      <c r="BE31" s="30"/>
      <c r="BF31" s="30"/>
      <c r="BG31" s="43">
        <f>BG29+BG24</f>
        <v>5.2083333333333339</v>
      </c>
      <c r="BH31" s="38">
        <f>BH24+BH29</f>
        <v>42.307692307692307</v>
      </c>
      <c r="BI31" s="38">
        <f>BI24+BI29</f>
        <v>32.637362637362635</v>
      </c>
      <c r="BJ31" s="39">
        <f>BJ24+BJ29</f>
        <v>24.175824175824175</v>
      </c>
    </row>
    <row r="32" spans="1:62">
      <c r="A32" s="122">
        <v>37143</v>
      </c>
      <c r="B32" s="122">
        <f t="shared" si="10"/>
        <v>37150</v>
      </c>
      <c r="C32" s="120">
        <f t="shared" ca="1" si="3"/>
        <v>45909</v>
      </c>
      <c r="D32" s="120">
        <f t="shared" ca="1" si="4"/>
        <v>45916</v>
      </c>
      <c r="E32" s="2">
        <v>0.66</v>
      </c>
      <c r="F32" s="2">
        <v>0.7</v>
      </c>
      <c r="G32" s="2">
        <v>0.68</v>
      </c>
      <c r="H32" s="149">
        <v>1</v>
      </c>
      <c r="K32">
        <f t="shared" si="0"/>
        <v>0.7</v>
      </c>
      <c r="L32">
        <f t="shared" ca="1" si="5"/>
        <v>0</v>
      </c>
      <c r="M32">
        <f t="shared" ca="1" si="6"/>
        <v>0</v>
      </c>
      <c r="N32">
        <f t="shared" ca="1" si="1"/>
        <v>0</v>
      </c>
      <c r="R32" s="98" t="s">
        <v>54</v>
      </c>
      <c r="W32">
        <f t="shared" si="7"/>
        <v>0.7</v>
      </c>
      <c r="X32">
        <f t="shared" ca="1" si="8"/>
        <v>0</v>
      </c>
      <c r="Y32">
        <f t="shared" ca="1" si="9"/>
        <v>0</v>
      </c>
      <c r="Z32">
        <f t="shared" ca="1" si="2"/>
        <v>0</v>
      </c>
      <c r="AO32" s="29"/>
      <c r="AP32" s="30"/>
      <c r="AQ32" s="30" t="s">
        <v>37</v>
      </c>
      <c r="AR32" s="30"/>
      <c r="AS32" s="43">
        <f>AS31*AS22</f>
        <v>82.727272727272734</v>
      </c>
      <c r="AT32" s="38">
        <f>AT31*$AS$22</f>
        <v>55.151515151515156</v>
      </c>
      <c r="AU32" s="38">
        <f>AU31*$AS$22</f>
        <v>68.939393939393938</v>
      </c>
      <c r="AV32" s="39">
        <f>AV31*$AS$22</f>
        <v>82.727272727272734</v>
      </c>
      <c r="BC32" s="29"/>
      <c r="BD32" s="30" t="s">
        <v>40</v>
      </c>
      <c r="BE32" s="30"/>
      <c r="BF32" s="30"/>
      <c r="BG32" s="30"/>
      <c r="BH32" s="38"/>
      <c r="BI32" s="38"/>
      <c r="BJ32" s="39"/>
    </row>
    <row r="33" spans="1:62">
      <c r="A33" s="122">
        <v>37151</v>
      </c>
      <c r="B33" s="122">
        <f t="shared" si="10"/>
        <v>37158</v>
      </c>
      <c r="C33" s="120">
        <f t="shared" ca="1" si="3"/>
        <v>45917</v>
      </c>
      <c r="D33" s="120">
        <f t="shared" ca="1" si="4"/>
        <v>45924</v>
      </c>
      <c r="E33" s="2">
        <v>0.47</v>
      </c>
      <c r="F33" s="2">
        <v>0.51</v>
      </c>
      <c r="G33" s="2">
        <v>0.59</v>
      </c>
      <c r="H33" s="149">
        <v>1</v>
      </c>
      <c r="K33">
        <f t="shared" si="0"/>
        <v>0.51</v>
      </c>
      <c r="L33">
        <f t="shared" ca="1" si="5"/>
        <v>0</v>
      </c>
      <c r="M33">
        <f t="shared" ca="1" si="6"/>
        <v>0</v>
      </c>
      <c r="N33">
        <f t="shared" ca="1" si="1"/>
        <v>0</v>
      </c>
      <c r="R33" s="98" t="s">
        <v>68</v>
      </c>
      <c r="W33">
        <f t="shared" si="7"/>
        <v>0.51</v>
      </c>
      <c r="X33">
        <f t="shared" ca="1" si="8"/>
        <v>0</v>
      </c>
      <c r="Y33">
        <f t="shared" ca="1" si="9"/>
        <v>0</v>
      </c>
      <c r="Z33">
        <f t="shared" ca="1" si="2"/>
        <v>0</v>
      </c>
      <c r="AO33" s="29"/>
      <c r="AP33" s="30"/>
      <c r="AQ33" s="30" t="s">
        <v>39</v>
      </c>
      <c r="AR33" s="30"/>
      <c r="AS33" s="43">
        <f>AS18/AS32</f>
        <v>12.087912087912088</v>
      </c>
      <c r="AT33" s="38">
        <f>$AS$18/AT32</f>
        <v>18.131868131868131</v>
      </c>
      <c r="AU33" s="38">
        <f>$AS$18/AU32</f>
        <v>14.505494505494505</v>
      </c>
      <c r="AV33" s="39">
        <f>$AS$18/AV32</f>
        <v>12.087912087912088</v>
      </c>
      <c r="BC33" s="29"/>
      <c r="BD33" s="30"/>
      <c r="BE33" s="30" t="s">
        <v>49</v>
      </c>
      <c r="BF33" s="30"/>
      <c r="BG33" s="35">
        <f ca="1">MIN(1-VLOOKUP(INT(BG31+0.5),$K$47:$M$403,3),0.99)</f>
        <v>0.94496309165064196</v>
      </c>
      <c r="BH33" s="38">
        <f ca="1">1-VLOOKUP(INT(BH31+0.5),$K$47:$M$403,3)</f>
        <v>0</v>
      </c>
      <c r="BI33" s="38">
        <f ca="1">1-VLOOKUP(INT(BI31+0.5),$K$47:$M$403,3)</f>
        <v>0</v>
      </c>
      <c r="BJ33" s="39">
        <f ca="1">1-VLOOKUP(INT(BJ31+0.5),$K$47:$M$403,3)</f>
        <v>2.0984151860581335E-8</v>
      </c>
    </row>
    <row r="34" spans="1:62">
      <c r="A34" s="122">
        <v>37159</v>
      </c>
      <c r="B34" s="122">
        <f t="shared" si="10"/>
        <v>37164</v>
      </c>
      <c r="C34" s="120">
        <f t="shared" ca="1" si="3"/>
        <v>45925</v>
      </c>
      <c r="D34" s="120">
        <f t="shared" ca="1" si="4"/>
        <v>45930</v>
      </c>
      <c r="E34" s="2">
        <v>0.47</v>
      </c>
      <c r="F34" s="2">
        <v>0.56000000000000005</v>
      </c>
      <c r="G34" s="2">
        <v>0.59</v>
      </c>
      <c r="H34" s="149">
        <v>1</v>
      </c>
      <c r="K34">
        <f t="shared" si="0"/>
        <v>0.56000000000000005</v>
      </c>
      <c r="L34">
        <f t="shared" ca="1" si="5"/>
        <v>0</v>
      </c>
      <c r="M34">
        <f t="shared" ca="1" si="6"/>
        <v>0</v>
      </c>
      <c r="N34">
        <f t="shared" ca="1" si="1"/>
        <v>0</v>
      </c>
      <c r="R34" s="98"/>
      <c r="W34">
        <f t="shared" si="7"/>
        <v>0.56000000000000005</v>
      </c>
      <c r="X34">
        <f t="shared" ca="1" si="8"/>
        <v>0</v>
      </c>
      <c r="Y34">
        <f t="shared" ca="1" si="9"/>
        <v>0</v>
      </c>
      <c r="Z34">
        <f t="shared" ca="1" si="2"/>
        <v>0</v>
      </c>
      <c r="AO34" s="29"/>
      <c r="AP34" s="30"/>
      <c r="AQ34" s="30"/>
      <c r="AR34" s="30"/>
      <c r="AS34" s="30"/>
      <c r="AT34" s="38"/>
      <c r="AU34" s="38"/>
      <c r="AV34" s="39"/>
      <c r="BC34" s="29"/>
      <c r="BD34" s="30" t="s">
        <v>137</v>
      </c>
      <c r="BE34" s="30"/>
      <c r="BF34" s="30"/>
      <c r="BG34" s="91">
        <f ca="1">BG31/N43+AA6</f>
        <v>45778.543859649122</v>
      </c>
      <c r="BH34" s="30"/>
      <c r="BI34" s="30"/>
      <c r="BJ34" s="31"/>
    </row>
    <row r="35" spans="1:62">
      <c r="A35" s="122">
        <v>37165</v>
      </c>
      <c r="B35" s="122">
        <f t="shared" si="10"/>
        <v>37172</v>
      </c>
      <c r="C35" s="120">
        <f t="shared" ca="1" si="3"/>
        <v>45931</v>
      </c>
      <c r="D35" s="120">
        <f t="shared" ca="1" si="4"/>
        <v>45938</v>
      </c>
      <c r="E35" s="2">
        <v>0.47</v>
      </c>
      <c r="F35" s="2">
        <v>0.56000000000000005</v>
      </c>
      <c r="G35" s="2">
        <v>0.54</v>
      </c>
      <c r="H35" s="149">
        <v>1</v>
      </c>
      <c r="K35">
        <f t="shared" si="0"/>
        <v>0.56000000000000005</v>
      </c>
      <c r="L35">
        <f t="shared" ca="1" si="5"/>
        <v>0</v>
      </c>
      <c r="M35">
        <f t="shared" ca="1" si="6"/>
        <v>0</v>
      </c>
      <c r="N35">
        <f t="shared" ca="1" si="1"/>
        <v>0</v>
      </c>
      <c r="R35" s="98"/>
      <c r="W35">
        <f t="shared" si="7"/>
        <v>0.56000000000000005</v>
      </c>
      <c r="X35">
        <f t="shared" ca="1" si="8"/>
        <v>0</v>
      </c>
      <c r="Y35">
        <f t="shared" ca="1" si="9"/>
        <v>0</v>
      </c>
      <c r="Z35">
        <f t="shared" ca="1" si="2"/>
        <v>0</v>
      </c>
      <c r="AO35" s="29"/>
      <c r="AP35" s="30" t="s">
        <v>62</v>
      </c>
      <c r="AQ35" s="30"/>
      <c r="AR35" s="30"/>
      <c r="AS35" s="43">
        <f>AS33+AS28</f>
        <v>24.175824175824175</v>
      </c>
      <c r="AT35" s="38">
        <f>AT28+AT33</f>
        <v>42.307692307692307</v>
      </c>
      <c r="AU35" s="38">
        <f>AU28+AU33</f>
        <v>32.637362637362635</v>
      </c>
      <c r="AV35" s="39">
        <f>AV28+AV33</f>
        <v>24.175824175824175</v>
      </c>
      <c r="BC35" s="36"/>
      <c r="BD35" s="37"/>
      <c r="BE35" s="37"/>
      <c r="BF35" s="37"/>
      <c r="BG35" s="96"/>
      <c r="BH35" s="37"/>
      <c r="BI35" s="37"/>
      <c r="BJ35" s="44"/>
    </row>
    <row r="36" spans="1:62">
      <c r="A36" s="122">
        <v>37173</v>
      </c>
      <c r="B36" s="122">
        <f t="shared" si="10"/>
        <v>37188</v>
      </c>
      <c r="C36" s="120">
        <f t="shared" ca="1" si="3"/>
        <v>45939</v>
      </c>
      <c r="D36" s="120">
        <f t="shared" ca="1" si="4"/>
        <v>45954</v>
      </c>
      <c r="E36" s="2">
        <v>0.48</v>
      </c>
      <c r="F36" s="2">
        <v>0.71</v>
      </c>
      <c r="G36" s="2">
        <v>0.54</v>
      </c>
      <c r="H36" s="149">
        <v>1</v>
      </c>
      <c r="K36">
        <f t="shared" si="0"/>
        <v>0.71</v>
      </c>
      <c r="L36">
        <f t="shared" ca="1" si="5"/>
        <v>0</v>
      </c>
      <c r="M36">
        <f t="shared" ca="1" si="6"/>
        <v>0</v>
      </c>
      <c r="N36">
        <f t="shared" ca="1" si="1"/>
        <v>0</v>
      </c>
      <c r="R36" s="99" t="s">
        <v>38</v>
      </c>
      <c r="W36">
        <f t="shared" si="7"/>
        <v>0.71</v>
      </c>
      <c r="X36">
        <f t="shared" ca="1" si="8"/>
        <v>0</v>
      </c>
      <c r="Y36">
        <f t="shared" ca="1" si="9"/>
        <v>0</v>
      </c>
      <c r="Z36">
        <f t="shared" ca="1" si="2"/>
        <v>0</v>
      </c>
      <c r="AO36" s="29"/>
      <c r="AP36" s="30" t="s">
        <v>40</v>
      </c>
      <c r="AQ36" s="30"/>
      <c r="AR36" s="30"/>
      <c r="AS36" s="30"/>
      <c r="AT36" s="38"/>
      <c r="AU36" s="38"/>
      <c r="AV36" s="39"/>
    </row>
    <row r="37" spans="1:62">
      <c r="A37" s="122">
        <v>37189</v>
      </c>
      <c r="B37" s="122">
        <f t="shared" si="10"/>
        <v>37194</v>
      </c>
      <c r="C37" s="120">
        <f t="shared" ca="1" si="3"/>
        <v>45955</v>
      </c>
      <c r="D37" s="120">
        <f t="shared" ca="1" si="4"/>
        <v>45960</v>
      </c>
      <c r="E37" s="2">
        <v>0.63</v>
      </c>
      <c r="F37" s="2">
        <v>0.71</v>
      </c>
      <c r="G37" s="2">
        <v>0.57999999999999996</v>
      </c>
      <c r="H37" s="149">
        <v>1</v>
      </c>
      <c r="K37">
        <f t="shared" si="0"/>
        <v>0.71</v>
      </c>
      <c r="L37">
        <f t="shared" ca="1" si="5"/>
        <v>0</v>
      </c>
      <c r="M37">
        <f t="shared" ca="1" si="6"/>
        <v>0</v>
      </c>
      <c r="N37">
        <f t="shared" ca="1" si="1"/>
        <v>0</v>
      </c>
      <c r="W37">
        <f t="shared" si="7"/>
        <v>0.71</v>
      </c>
      <c r="X37">
        <f t="shared" ca="1" si="8"/>
        <v>0</v>
      </c>
      <c r="Y37">
        <f t="shared" ca="1" si="9"/>
        <v>0</v>
      </c>
      <c r="Z37">
        <f t="shared" ca="1" si="2"/>
        <v>0</v>
      </c>
      <c r="AO37" s="29"/>
      <c r="AP37" s="30"/>
      <c r="AQ37" s="30" t="s">
        <v>49</v>
      </c>
      <c r="AR37" s="30"/>
      <c r="AS37" s="35">
        <f ca="1">MIN(1-VLOOKUP(INT(AS35+0.5),$K$47:$M$403,3),0.99)</f>
        <v>2.0984151860581335E-8</v>
      </c>
      <c r="AT37" s="38">
        <f ca="1">1-VLOOKUP(INT(AT35+0.5),$K$47:$M$403,3)</f>
        <v>0</v>
      </c>
      <c r="AU37" s="38">
        <f ca="1">1-VLOOKUP(INT(AU35+0.5),$K$47:$M$403,3)</f>
        <v>0</v>
      </c>
      <c r="AV37" s="39">
        <f ca="1">1-VLOOKUP(INT(AV35+0.5),$K$47:$M$403,3)</f>
        <v>2.0984151860581335E-8</v>
      </c>
      <c r="BG37" s="3"/>
    </row>
    <row r="38" spans="1:62">
      <c r="A38" s="122">
        <v>37195</v>
      </c>
      <c r="B38" s="122">
        <f t="shared" si="10"/>
        <v>37195</v>
      </c>
      <c r="C38" s="120">
        <f t="shared" ca="1" si="3"/>
        <v>45961</v>
      </c>
      <c r="D38" s="120">
        <f t="shared" ca="1" si="4"/>
        <v>45961</v>
      </c>
      <c r="E38" s="2">
        <v>0.46</v>
      </c>
      <c r="F38" s="2">
        <v>0.51</v>
      </c>
      <c r="G38" s="2">
        <v>0.54</v>
      </c>
      <c r="H38" s="149">
        <v>1</v>
      </c>
      <c r="K38">
        <f t="shared" si="0"/>
        <v>0.51</v>
      </c>
      <c r="L38">
        <f t="shared" ca="1" si="5"/>
        <v>0</v>
      </c>
      <c r="M38">
        <f t="shared" ca="1" si="6"/>
        <v>0</v>
      </c>
      <c r="N38">
        <f t="shared" ca="1" si="1"/>
        <v>0</v>
      </c>
      <c r="W38">
        <f t="shared" si="7"/>
        <v>0.51</v>
      </c>
      <c r="X38">
        <f t="shared" ca="1" si="8"/>
        <v>0</v>
      </c>
      <c r="Y38">
        <f t="shared" ca="1" si="9"/>
        <v>0</v>
      </c>
      <c r="Z38">
        <f t="shared" ca="1" si="2"/>
        <v>0</v>
      </c>
      <c r="AO38" s="29"/>
      <c r="AP38" s="30" t="s">
        <v>137</v>
      </c>
      <c r="AQ38" s="30"/>
      <c r="AR38" s="30"/>
      <c r="AS38" s="91">
        <f ca="1">AS35/N43+AA6</f>
        <v>45842.434355118567</v>
      </c>
      <c r="AT38" s="30"/>
      <c r="AU38" s="30"/>
      <c r="AV38" s="31"/>
      <c r="BG38" s="2"/>
    </row>
    <row r="39" spans="1:62">
      <c r="A39" s="122">
        <v>37196</v>
      </c>
      <c r="B39" s="122">
        <f t="shared" si="10"/>
        <v>37203</v>
      </c>
      <c r="C39" s="120">
        <f t="shared" ca="1" si="3"/>
        <v>45962</v>
      </c>
      <c r="D39" s="120">
        <f t="shared" ca="1" si="4"/>
        <v>45969</v>
      </c>
      <c r="E39" s="2">
        <v>0.46</v>
      </c>
      <c r="F39" s="2">
        <v>0.51</v>
      </c>
      <c r="G39" s="2">
        <v>0.54</v>
      </c>
      <c r="H39" s="149">
        <v>1</v>
      </c>
      <c r="K39">
        <f t="shared" si="0"/>
        <v>0.51</v>
      </c>
      <c r="L39">
        <f t="shared" ca="1" si="5"/>
        <v>0</v>
      </c>
      <c r="M39">
        <f t="shared" ca="1" si="6"/>
        <v>0</v>
      </c>
      <c r="N39">
        <f t="shared" ca="1" si="1"/>
        <v>0</v>
      </c>
      <c r="W39">
        <f t="shared" si="7"/>
        <v>0.51</v>
      </c>
      <c r="X39">
        <f t="shared" ca="1" si="8"/>
        <v>0</v>
      </c>
      <c r="Y39">
        <f t="shared" ca="1" si="9"/>
        <v>0</v>
      </c>
      <c r="Z39">
        <f t="shared" ca="1" si="2"/>
        <v>0</v>
      </c>
      <c r="AO39" s="29"/>
      <c r="AP39" s="30" t="s">
        <v>66</v>
      </c>
      <c r="AQ39" s="30"/>
      <c r="AR39" s="30"/>
      <c r="AS39" s="32">
        <f>(AS17/AS26+AS18/AS31)*1.1</f>
        <v>265.93406593406593</v>
      </c>
      <c r="AT39" s="30"/>
      <c r="AU39" s="30"/>
      <c r="AV39" s="31"/>
      <c r="BG39" s="2"/>
    </row>
    <row r="40" spans="1:62">
      <c r="A40" s="122">
        <v>37204</v>
      </c>
      <c r="B40" s="122">
        <f t="shared" si="10"/>
        <v>37211</v>
      </c>
      <c r="C40" s="120">
        <f t="shared" ca="1" si="3"/>
        <v>45970</v>
      </c>
      <c r="D40" s="120">
        <f t="shared" ca="1" si="4"/>
        <v>45977</v>
      </c>
      <c r="E40" s="2">
        <v>0.56000000000000005</v>
      </c>
      <c r="F40" s="2">
        <v>0.57999999999999996</v>
      </c>
      <c r="G40" s="2">
        <v>0.4</v>
      </c>
      <c r="H40" s="149">
        <v>1</v>
      </c>
      <c r="K40">
        <f t="shared" si="0"/>
        <v>0.57999999999999996</v>
      </c>
      <c r="L40">
        <f t="shared" ca="1" si="5"/>
        <v>0</v>
      </c>
      <c r="M40">
        <f ca="1">L40*K40</f>
        <v>0</v>
      </c>
      <c r="N40">
        <f t="shared" ca="1" si="1"/>
        <v>0</v>
      </c>
      <c r="W40">
        <f t="shared" si="7"/>
        <v>0.57999999999999996</v>
      </c>
      <c r="X40">
        <f t="shared" ca="1" si="8"/>
        <v>0</v>
      </c>
      <c r="Y40">
        <f ca="1">X40*W40</f>
        <v>0</v>
      </c>
      <c r="Z40">
        <f t="shared" ca="1" si="2"/>
        <v>0</v>
      </c>
      <c r="AO40" s="29"/>
      <c r="AP40" s="30"/>
      <c r="AQ40" s="30"/>
      <c r="AR40" s="30"/>
      <c r="AS40" s="30"/>
      <c r="AT40" s="30"/>
      <c r="AU40" s="30"/>
      <c r="AV40" s="31"/>
      <c r="BG40" s="2"/>
    </row>
    <row r="41" spans="1:62">
      <c r="A41" s="122">
        <v>37212</v>
      </c>
      <c r="B41" s="122">
        <f t="shared" si="10"/>
        <v>37219</v>
      </c>
      <c r="C41" s="120">
        <f t="shared" ca="1" si="3"/>
        <v>45978</v>
      </c>
      <c r="D41" s="120">
        <f t="shared" ca="1" si="4"/>
        <v>45985</v>
      </c>
      <c r="E41" s="2">
        <v>0.56000000000000005</v>
      </c>
      <c r="F41" s="2">
        <v>0.57999999999999996</v>
      </c>
      <c r="G41" s="2">
        <v>0.4</v>
      </c>
      <c r="H41" s="149">
        <v>1</v>
      </c>
      <c r="K41">
        <f t="shared" si="0"/>
        <v>0.57999999999999996</v>
      </c>
      <c r="L41">
        <f t="shared" ca="1" si="5"/>
        <v>0</v>
      </c>
      <c r="M41">
        <f ca="1">L41*K41</f>
        <v>0</v>
      </c>
      <c r="N41">
        <f t="shared" ca="1" si="1"/>
        <v>0</v>
      </c>
      <c r="W41">
        <f t="shared" si="7"/>
        <v>0.57999999999999996</v>
      </c>
      <c r="X41">
        <f t="shared" ca="1" si="8"/>
        <v>0</v>
      </c>
      <c r="Y41">
        <f ca="1">X41*W41</f>
        <v>0</v>
      </c>
      <c r="Z41">
        <f t="shared" ca="1" si="2"/>
        <v>0</v>
      </c>
      <c r="AO41" s="29"/>
      <c r="AP41" s="30" t="s">
        <v>34</v>
      </c>
      <c r="AQ41" s="30"/>
      <c r="AR41" s="30"/>
      <c r="AS41" s="30"/>
      <c r="AT41" s="30"/>
      <c r="AU41" s="30"/>
      <c r="AV41" s="31"/>
    </row>
    <row r="42" spans="1:62">
      <c r="A42" s="122">
        <v>37220</v>
      </c>
      <c r="B42" s="122">
        <v>37225</v>
      </c>
      <c r="C42" s="120">
        <f t="shared" ca="1" si="3"/>
        <v>45986</v>
      </c>
      <c r="D42" s="120">
        <f t="shared" ca="1" si="4"/>
        <v>45991</v>
      </c>
      <c r="E42" s="2">
        <v>0.42</v>
      </c>
      <c r="F42" s="2">
        <v>0.26</v>
      </c>
      <c r="G42" s="2">
        <v>0.11</v>
      </c>
      <c r="H42" s="149">
        <v>1</v>
      </c>
      <c r="K42">
        <f t="shared" si="0"/>
        <v>0.26</v>
      </c>
      <c r="L42">
        <f t="shared" ca="1" si="5"/>
        <v>0</v>
      </c>
      <c r="M42">
        <f ca="1">L42*K42</f>
        <v>0</v>
      </c>
      <c r="N42">
        <f t="shared" ca="1" si="1"/>
        <v>0</v>
      </c>
      <c r="W42">
        <f t="shared" si="7"/>
        <v>0.26</v>
      </c>
      <c r="X42">
        <f t="shared" ca="1" si="8"/>
        <v>0</v>
      </c>
      <c r="Y42">
        <f ca="1">X42*W42</f>
        <v>0</v>
      </c>
      <c r="Z42">
        <f t="shared" ca="1" si="2"/>
        <v>0</v>
      </c>
      <c r="AO42" s="29"/>
      <c r="AP42" s="30" t="s">
        <v>141</v>
      </c>
      <c r="AQ42" s="30"/>
      <c r="AR42" s="30"/>
      <c r="AS42" s="33" t="s">
        <v>13</v>
      </c>
      <c r="AT42" s="30"/>
      <c r="AU42" s="30"/>
      <c r="AV42" s="31"/>
    </row>
    <row r="43" spans="1:62">
      <c r="B43" s="4"/>
      <c r="C43" s="5"/>
      <c r="D43" s="5"/>
      <c r="E43" s="6"/>
      <c r="F43" s="6"/>
      <c r="G43" s="6"/>
      <c r="H43" s="6"/>
      <c r="I43" s="4"/>
      <c r="L43">
        <f ca="1">SUM(L10:L42)</f>
        <v>32</v>
      </c>
      <c r="N43">
        <f ca="1">SUM(N10:N42)</f>
        <v>0.296875</v>
      </c>
      <c r="X43">
        <f ca="1">SUM(X10:X42)</f>
        <v>0</v>
      </c>
      <c r="Z43">
        <f ca="1">SUM(Z10:Z42)</f>
        <v>0</v>
      </c>
      <c r="AO43" s="29"/>
      <c r="AP43" s="30"/>
      <c r="AQ43" s="30" t="s">
        <v>65</v>
      </c>
      <c r="AR43" s="30"/>
      <c r="AS43" s="35">
        <f ca="1">MIN(0.99,AT37)</f>
        <v>0</v>
      </c>
      <c r="AT43" s="30"/>
      <c r="AU43" s="30"/>
      <c r="AV43" s="31"/>
    </row>
    <row r="44" spans="1:62">
      <c r="C44" s="1"/>
      <c r="D44" s="1"/>
      <c r="E44" s="2"/>
      <c r="F44" s="2"/>
      <c r="G44" s="2"/>
      <c r="H44" s="2"/>
      <c r="AO44" s="29"/>
      <c r="AP44" s="30"/>
      <c r="AQ44" s="30" t="s">
        <v>64</v>
      </c>
      <c r="AR44" s="30"/>
      <c r="AS44" s="35">
        <f ca="1">MIN(AU37,0.99)</f>
        <v>0</v>
      </c>
      <c r="AT44" s="30"/>
      <c r="AU44" s="30"/>
      <c r="AV44" s="31"/>
    </row>
    <row r="45" spans="1:62">
      <c r="B45" t="s">
        <v>8</v>
      </c>
      <c r="C45" s="1"/>
      <c r="D45" s="1"/>
      <c r="E45" s="2"/>
      <c r="F45" s="2"/>
      <c r="G45" s="2"/>
      <c r="H45" s="2"/>
      <c r="AO45" s="29"/>
      <c r="AP45" s="30"/>
      <c r="AQ45" s="30" t="s">
        <v>63</v>
      </c>
      <c r="AR45" s="30"/>
      <c r="AS45" s="35">
        <f ca="1">MIN(AV37,0.99)</f>
        <v>2.0984151860581335E-8</v>
      </c>
      <c r="AT45" s="30"/>
      <c r="AU45" s="30"/>
      <c r="AV45" s="31"/>
    </row>
    <row r="46" spans="1:62">
      <c r="B46" t="s">
        <v>9</v>
      </c>
      <c r="C46" s="1"/>
      <c r="D46" s="1"/>
      <c r="E46" s="2"/>
      <c r="F46" s="2"/>
      <c r="G46" s="2"/>
      <c r="H46" s="2"/>
      <c r="L46" t="s">
        <v>20</v>
      </c>
      <c r="M46" t="s">
        <v>21</v>
      </c>
      <c r="X46" t="s">
        <v>20</v>
      </c>
      <c r="Y46" t="s">
        <v>21</v>
      </c>
      <c r="AO46" s="36"/>
      <c r="AP46" s="37"/>
      <c r="AQ46" s="37"/>
      <c r="AR46" s="37"/>
      <c r="AS46" s="37"/>
      <c r="AT46" s="37"/>
      <c r="AU46" s="37"/>
      <c r="AV46" s="44"/>
    </row>
    <row r="47" spans="1:62">
      <c r="C47" s="1"/>
      <c r="D47" s="1"/>
      <c r="K47">
        <v>0</v>
      </c>
      <c r="L47">
        <f t="shared" ref="L47:L110" ca="1" si="11">IF(K47&lt;=$T$19,BINOMDIST(K47,$T$19,$N$43,FALSE),0)</f>
        <v>1.2736241145744872E-5</v>
      </c>
      <c r="M47">
        <f ca="1">L47</f>
        <v>1.2736241145744872E-5</v>
      </c>
      <c r="W47">
        <v>0</v>
      </c>
      <c r="X47">
        <f t="shared" ref="X47:X110" ca="1" si="12">IF(W47&lt;=$T$19,BINOMDIST(W47,$T$19,$N$43,FALSE),0)</f>
        <v>1.2736241145744872E-5</v>
      </c>
      <c r="Y47">
        <f ca="1">X47</f>
        <v>1.2736241145744872E-5</v>
      </c>
    </row>
    <row r="48" spans="1:62">
      <c r="B48" s="1" t="s">
        <v>4</v>
      </c>
      <c r="D48" s="1"/>
      <c r="K48">
        <v>1</v>
      </c>
      <c r="L48">
        <f t="shared" ca="1" si="11"/>
        <v>1.7208076925806406E-4</v>
      </c>
      <c r="M48">
        <f ca="1">L48+M47</f>
        <v>1.8481701040380893E-4</v>
      </c>
      <c r="W48">
        <v>1</v>
      </c>
      <c r="X48">
        <f t="shared" ca="1" si="12"/>
        <v>1.7208076925806406E-4</v>
      </c>
      <c r="Y48">
        <f ca="1">X48+Y47</f>
        <v>1.8481701040380893E-4</v>
      </c>
    </row>
    <row r="49" spans="3:25">
      <c r="K49">
        <v>2</v>
      </c>
      <c r="L49">
        <f t="shared" ca="1" si="11"/>
        <v>1.1261730343666643E-3</v>
      </c>
      <c r="M49">
        <f t="shared" ref="M49:M112" ca="1" si="13">L49+M48</f>
        <v>1.3109900447704733E-3</v>
      </c>
      <c r="W49">
        <v>2</v>
      </c>
      <c r="X49">
        <f t="shared" ca="1" si="12"/>
        <v>1.1261730343666643E-3</v>
      </c>
      <c r="Y49">
        <f t="shared" ref="Y49:Y112" ca="1" si="14">X49+Y48</f>
        <v>1.3109900447704733E-3</v>
      </c>
    </row>
    <row r="50" spans="3:25">
      <c r="C50" s="1"/>
      <c r="D50" s="1"/>
      <c r="K50">
        <v>3</v>
      </c>
      <c r="L50">
        <f t="shared" ca="1" si="11"/>
        <v>4.7549528117703573E-3</v>
      </c>
      <c r="M50">
        <f t="shared" ca="1" si="13"/>
        <v>6.0659428565408308E-3</v>
      </c>
      <c r="W50">
        <v>3</v>
      </c>
      <c r="X50">
        <f t="shared" ca="1" si="12"/>
        <v>4.7549528117703573E-3</v>
      </c>
      <c r="Y50">
        <f t="shared" ca="1" si="14"/>
        <v>6.0659428565408308E-3</v>
      </c>
    </row>
    <row r="51" spans="3:25">
      <c r="K51">
        <v>4</v>
      </c>
      <c r="L51">
        <f t="shared" ca="1" si="11"/>
        <v>1.4555438884919279E-2</v>
      </c>
      <c r="M51">
        <f t="shared" ca="1" si="13"/>
        <v>2.062138174146011E-2</v>
      </c>
      <c r="W51">
        <v>4</v>
      </c>
      <c r="X51">
        <f t="shared" ca="1" si="12"/>
        <v>1.4555438884919279E-2</v>
      </c>
      <c r="Y51">
        <f t="shared" ca="1" si="14"/>
        <v>2.062138174146011E-2</v>
      </c>
    </row>
    <row r="52" spans="3:25">
      <c r="C52" s="1"/>
      <c r="D52" s="1"/>
      <c r="K52">
        <v>5</v>
      </c>
      <c r="L52">
        <f t="shared" ca="1" si="11"/>
        <v>3.4415526607897984E-2</v>
      </c>
      <c r="M52">
        <f t="shared" ca="1" si="13"/>
        <v>5.5036908349358094E-2</v>
      </c>
      <c r="W52">
        <v>5</v>
      </c>
      <c r="X52">
        <f t="shared" ca="1" si="12"/>
        <v>3.4415526607897984E-2</v>
      </c>
      <c r="Y52">
        <f t="shared" ca="1" si="14"/>
        <v>5.5036908349358094E-2</v>
      </c>
    </row>
    <row r="53" spans="3:25">
      <c r="K53">
        <v>6</v>
      </c>
      <c r="L53">
        <f t="shared" ca="1" si="11"/>
        <v>6.5389500555006197E-2</v>
      </c>
      <c r="M53">
        <f t="shared" ca="1" si="13"/>
        <v>0.12042640890436429</v>
      </c>
      <c r="W53">
        <v>6</v>
      </c>
      <c r="X53">
        <f t="shared" ca="1" si="12"/>
        <v>6.5389500555006197E-2</v>
      </c>
      <c r="Y53">
        <f t="shared" ca="1" si="14"/>
        <v>0.12042640890436429</v>
      </c>
    </row>
    <row r="54" spans="3:25">
      <c r="K54">
        <v>7</v>
      </c>
      <c r="L54">
        <f t="shared" ca="1" si="11"/>
        <v>0.10254734372753348</v>
      </c>
      <c r="M54">
        <f t="shared" ca="1" si="13"/>
        <v>0.22297375263189778</v>
      </c>
      <c r="W54">
        <v>7</v>
      </c>
      <c r="X54">
        <f t="shared" ca="1" si="12"/>
        <v>0.10254734372753348</v>
      </c>
      <c r="Y54">
        <f t="shared" ca="1" si="14"/>
        <v>0.22297375263189778</v>
      </c>
    </row>
    <row r="55" spans="3:25">
      <c r="K55">
        <v>8</v>
      </c>
      <c r="L55">
        <f t="shared" ca="1" si="11"/>
        <v>0.13530552297382892</v>
      </c>
      <c r="M55">
        <f t="shared" ca="1" si="13"/>
        <v>0.3582792756057267</v>
      </c>
      <c r="W55">
        <v>8</v>
      </c>
      <c r="X55">
        <f t="shared" ca="1" si="12"/>
        <v>0.13530552297382892</v>
      </c>
      <c r="Y55">
        <f t="shared" ca="1" si="14"/>
        <v>0.3582792756057267</v>
      </c>
    </row>
    <row r="56" spans="3:25">
      <c r="K56">
        <v>9</v>
      </c>
      <c r="L56">
        <f t="shared" ca="1" si="11"/>
        <v>0.15234399623719991</v>
      </c>
      <c r="M56">
        <f t="shared" ca="1" si="13"/>
        <v>0.51062327184292666</v>
      </c>
      <c r="W56">
        <v>9</v>
      </c>
      <c r="X56">
        <f t="shared" ca="1" si="12"/>
        <v>0.15234399623719991</v>
      </c>
      <c r="Y56">
        <f t="shared" ca="1" si="14"/>
        <v>0.51062327184292666</v>
      </c>
    </row>
    <row r="57" spans="3:25">
      <c r="K57">
        <v>10</v>
      </c>
      <c r="L57">
        <f t="shared" ca="1" si="11"/>
        <v>0.14794294745701411</v>
      </c>
      <c r="M57">
        <f t="shared" ca="1" si="13"/>
        <v>0.65856621929994075</v>
      </c>
      <c r="W57">
        <v>10</v>
      </c>
      <c r="X57">
        <f t="shared" ca="1" si="12"/>
        <v>0.14794294745701411</v>
      </c>
      <c r="Y57">
        <f t="shared" ca="1" si="14"/>
        <v>0.65856621929994075</v>
      </c>
    </row>
    <row r="58" spans="3:25">
      <c r="K58">
        <v>11</v>
      </c>
      <c r="L58">
        <f t="shared" ca="1" si="11"/>
        <v>0.12492960007481194</v>
      </c>
      <c r="M58">
        <f t="shared" ca="1" si="13"/>
        <v>0.78349581937475266</v>
      </c>
      <c r="W58">
        <v>11</v>
      </c>
      <c r="X58">
        <f t="shared" ca="1" si="12"/>
        <v>0.12492960007481194</v>
      </c>
      <c r="Y58">
        <f t="shared" ca="1" si="14"/>
        <v>0.78349581937475266</v>
      </c>
    </row>
    <row r="59" spans="3:25">
      <c r="K59">
        <v>12</v>
      </c>
      <c r="L59">
        <f t="shared" ca="1" si="11"/>
        <v>9.2309093388611083E-2</v>
      </c>
      <c r="M59">
        <f t="shared" ca="1" si="13"/>
        <v>0.8758049127633637</v>
      </c>
      <c r="W59">
        <v>12</v>
      </c>
      <c r="X59">
        <f t="shared" ca="1" si="12"/>
        <v>9.2309093388611083E-2</v>
      </c>
      <c r="Y59">
        <f t="shared" ca="1" si="14"/>
        <v>0.8758049127633637</v>
      </c>
    </row>
    <row r="60" spans="3:25">
      <c r="K60">
        <v>13</v>
      </c>
      <c r="L60">
        <f t="shared" ca="1" si="11"/>
        <v>5.9961462372089214E-2</v>
      </c>
      <c r="M60">
        <f t="shared" ca="1" si="13"/>
        <v>0.93576637513545291</v>
      </c>
      <c r="W60">
        <v>13</v>
      </c>
      <c r="X60">
        <f t="shared" ca="1" si="12"/>
        <v>5.9961462372089214E-2</v>
      </c>
      <c r="Y60">
        <f t="shared" ca="1" si="14"/>
        <v>0.93576637513545291</v>
      </c>
    </row>
    <row r="61" spans="3:25">
      <c r="K61">
        <v>14</v>
      </c>
      <c r="L61">
        <f t="shared" ca="1" si="11"/>
        <v>3.4358869708451138E-2</v>
      </c>
      <c r="M61">
        <f t="shared" ca="1" si="13"/>
        <v>0.97012524484390406</v>
      </c>
      <c r="W61">
        <v>14</v>
      </c>
      <c r="X61">
        <f t="shared" ca="1" si="12"/>
        <v>3.4358869708451138E-2</v>
      </c>
      <c r="Y61">
        <f t="shared" ca="1" si="14"/>
        <v>0.97012524484390406</v>
      </c>
    </row>
    <row r="62" spans="3:25">
      <c r="K62">
        <v>15</v>
      </c>
      <c r="L62">
        <f t="shared" ca="1" si="11"/>
        <v>1.7408493985615229E-2</v>
      </c>
      <c r="M62">
        <f t="shared" ca="1" si="13"/>
        <v>0.98753373882951934</v>
      </c>
      <c r="W62">
        <v>15</v>
      </c>
      <c r="X62">
        <f t="shared" ca="1" si="12"/>
        <v>1.7408493985615229E-2</v>
      </c>
      <c r="Y62">
        <f t="shared" ca="1" si="14"/>
        <v>0.98753373882951934</v>
      </c>
    </row>
    <row r="63" spans="3:25">
      <c r="K63">
        <v>16</v>
      </c>
      <c r="L63">
        <f t="shared" ca="1" si="11"/>
        <v>7.809643829657948E-3</v>
      </c>
      <c r="M63">
        <f t="shared" ca="1" si="13"/>
        <v>0.99534338265917732</v>
      </c>
      <c r="W63">
        <v>16</v>
      </c>
      <c r="X63">
        <f t="shared" ca="1" si="12"/>
        <v>7.809643829657948E-3</v>
      </c>
      <c r="Y63">
        <f t="shared" ca="1" si="14"/>
        <v>0.99534338265917732</v>
      </c>
    </row>
    <row r="64" spans="3:25">
      <c r="K64">
        <v>17</v>
      </c>
      <c r="L64">
        <f t="shared" ca="1" si="11"/>
        <v>3.1034401623738763E-3</v>
      </c>
      <c r="M64">
        <f t="shared" ca="1" si="13"/>
        <v>0.99844682282155117</v>
      </c>
      <c r="W64">
        <v>17</v>
      </c>
      <c r="X64">
        <f t="shared" ca="1" si="12"/>
        <v>3.1034401623738763E-3</v>
      </c>
      <c r="Y64">
        <f t="shared" ca="1" si="14"/>
        <v>0.99844682282155117</v>
      </c>
    </row>
    <row r="65" spans="11:25">
      <c r="K65">
        <v>18</v>
      </c>
      <c r="L65">
        <f t="shared" ca="1" si="11"/>
        <v>1.0919511682426597E-3</v>
      </c>
      <c r="M65">
        <f t="shared" ca="1" si="13"/>
        <v>0.99953877398979385</v>
      </c>
      <c r="W65">
        <v>18</v>
      </c>
      <c r="X65">
        <f t="shared" ca="1" si="12"/>
        <v>1.0919511682426597E-3</v>
      </c>
      <c r="Y65">
        <f t="shared" ca="1" si="14"/>
        <v>0.99953877398979385</v>
      </c>
    </row>
    <row r="66" spans="11:25">
      <c r="K66">
        <v>19</v>
      </c>
      <c r="L66">
        <f t="shared" ca="1" si="11"/>
        <v>3.3971814123105043E-4</v>
      </c>
      <c r="M66">
        <f t="shared" ca="1" si="13"/>
        <v>0.99987849213102487</v>
      </c>
      <c r="W66">
        <v>19</v>
      </c>
      <c r="X66">
        <f t="shared" ca="1" si="12"/>
        <v>3.3971814123105043E-4</v>
      </c>
      <c r="Y66">
        <f t="shared" ca="1" si="14"/>
        <v>0.99987849213102487</v>
      </c>
    </row>
    <row r="67" spans="11:25">
      <c r="K67">
        <v>20</v>
      </c>
      <c r="L67">
        <f t="shared" ca="1" si="11"/>
        <v>9.3233756537855115E-5</v>
      </c>
      <c r="M67">
        <f t="shared" ca="1" si="13"/>
        <v>0.99997172588756267</v>
      </c>
      <c r="W67">
        <v>20</v>
      </c>
      <c r="X67">
        <f t="shared" ca="1" si="12"/>
        <v>9.3233756537855115E-5</v>
      </c>
      <c r="Y67">
        <f t="shared" ca="1" si="14"/>
        <v>0.99997172588756267</v>
      </c>
    </row>
    <row r="68" spans="11:25">
      <c r="K68">
        <v>21</v>
      </c>
      <c r="L68">
        <f t="shared" ca="1" si="11"/>
        <v>2.2494493640879209E-5</v>
      </c>
      <c r="M68">
        <f t="shared" ca="1" si="13"/>
        <v>0.99999422038120356</v>
      </c>
      <c r="W68">
        <v>21</v>
      </c>
      <c r="X68">
        <f t="shared" ca="1" si="12"/>
        <v>2.2494493640879209E-5</v>
      </c>
      <c r="Y68">
        <f t="shared" ca="1" si="14"/>
        <v>0.99999422038120356</v>
      </c>
    </row>
    <row r="69" spans="11:25">
      <c r="K69">
        <v>22</v>
      </c>
      <c r="L69">
        <f t="shared" ca="1" si="11"/>
        <v>4.7488375464078394E-6</v>
      </c>
      <c r="M69">
        <f t="shared" ca="1" si="13"/>
        <v>0.99999896921874998</v>
      </c>
      <c r="W69">
        <v>22</v>
      </c>
      <c r="X69">
        <f t="shared" ca="1" si="12"/>
        <v>4.7488375464078394E-6</v>
      </c>
      <c r="Y69">
        <f t="shared" ca="1" si="14"/>
        <v>0.99999896921874998</v>
      </c>
    </row>
    <row r="70" spans="11:25">
      <c r="K70">
        <v>23</v>
      </c>
      <c r="L70">
        <f t="shared" ca="1" si="11"/>
        <v>8.7176727905071605E-7</v>
      </c>
      <c r="M70">
        <f t="shared" ca="1" si="13"/>
        <v>0.99999984098602901</v>
      </c>
      <c r="W70">
        <v>23</v>
      </c>
      <c r="X70">
        <f t="shared" ca="1" si="12"/>
        <v>8.7176727905071605E-7</v>
      </c>
      <c r="Y70">
        <f t="shared" ca="1" si="14"/>
        <v>0.99999984098602901</v>
      </c>
    </row>
    <row r="71" spans="11:25">
      <c r="K71">
        <v>24</v>
      </c>
      <c r="L71">
        <f t="shared" ca="1" si="11"/>
        <v>1.380298191830299E-7</v>
      </c>
      <c r="M71">
        <f t="shared" ca="1" si="13"/>
        <v>0.99999997901584814</v>
      </c>
      <c r="W71">
        <v>24</v>
      </c>
      <c r="X71">
        <f t="shared" ca="1" si="12"/>
        <v>1.380298191830299E-7</v>
      </c>
      <c r="Y71">
        <f t="shared" ca="1" si="14"/>
        <v>0.99999997901584814</v>
      </c>
    </row>
    <row r="72" spans="11:25">
      <c r="K72">
        <v>25</v>
      </c>
      <c r="L72">
        <f t="shared" ca="1" si="11"/>
        <v>1.864936223628492E-8</v>
      </c>
      <c r="M72">
        <f t="shared" ca="1" si="13"/>
        <v>0.99999999766521042</v>
      </c>
      <c r="W72">
        <v>25</v>
      </c>
      <c r="X72">
        <f t="shared" ca="1" si="12"/>
        <v>1.864936223628492E-8</v>
      </c>
      <c r="Y72">
        <f t="shared" ca="1" si="14"/>
        <v>0.99999999766521042</v>
      </c>
    </row>
    <row r="73" spans="11:25">
      <c r="K73">
        <v>26</v>
      </c>
      <c r="L73">
        <f t="shared" ca="1" si="11"/>
        <v>2.1199702371161497E-9</v>
      </c>
      <c r="M73">
        <f t="shared" ca="1" si="13"/>
        <v>0.99999999978518062</v>
      </c>
      <c r="W73">
        <v>26</v>
      </c>
      <c r="X73">
        <f t="shared" ca="1" si="12"/>
        <v>2.1199702371161497E-9</v>
      </c>
      <c r="Y73">
        <f t="shared" ca="1" si="14"/>
        <v>0.99999999978518062</v>
      </c>
    </row>
    <row r="74" spans="11:25">
      <c r="K74">
        <v>27</v>
      </c>
      <c r="L74">
        <f t="shared" ca="1" si="11"/>
        <v>1.989107876800346E-10</v>
      </c>
      <c r="M74">
        <f t="shared" ca="1" si="13"/>
        <v>0.99999999998409139</v>
      </c>
      <c r="W74">
        <v>27</v>
      </c>
      <c r="X74">
        <f t="shared" ca="1" si="12"/>
        <v>1.989107876800346E-10</v>
      </c>
      <c r="Y74">
        <f t="shared" ca="1" si="14"/>
        <v>0.99999999998409139</v>
      </c>
    </row>
    <row r="75" spans="11:25">
      <c r="K75">
        <v>28</v>
      </c>
      <c r="L75">
        <f t="shared" ca="1" si="11"/>
        <v>1.4997241928256532E-11</v>
      </c>
      <c r="M75">
        <f t="shared" ca="1" si="13"/>
        <v>0.99999999999908862</v>
      </c>
      <c r="W75">
        <v>28</v>
      </c>
      <c r="X75">
        <f t="shared" ca="1" si="12"/>
        <v>1.4997241928256532E-11</v>
      </c>
      <c r="Y75">
        <f t="shared" ca="1" si="14"/>
        <v>0.99999999999908862</v>
      </c>
    </row>
    <row r="76" spans="11:25">
      <c r="K76">
        <v>29</v>
      </c>
      <c r="L76">
        <f t="shared" ca="1" si="11"/>
        <v>8.7340259505555655E-13</v>
      </c>
      <c r="M76">
        <f t="shared" ca="1" si="13"/>
        <v>0.99999999999996203</v>
      </c>
      <c r="W76">
        <v>29</v>
      </c>
      <c r="X76">
        <f t="shared" ca="1" si="12"/>
        <v>8.7340259505555655E-13</v>
      </c>
      <c r="Y76">
        <f t="shared" ca="1" si="14"/>
        <v>0.99999999999996203</v>
      </c>
    </row>
    <row r="77" spans="11:25">
      <c r="K77">
        <v>30</v>
      </c>
      <c r="L77">
        <f t="shared" ca="1" si="11"/>
        <v>3.6876998457901085E-14</v>
      </c>
      <c r="M77">
        <f t="shared" ca="1" si="13"/>
        <v>0.99999999999999889</v>
      </c>
      <c r="W77">
        <v>30</v>
      </c>
      <c r="X77">
        <f t="shared" ca="1" si="12"/>
        <v>3.6876998457901085E-14</v>
      </c>
      <c r="Y77">
        <f t="shared" ca="1" si="14"/>
        <v>0.99999999999999889</v>
      </c>
    </row>
    <row r="78" spans="11:25">
      <c r="K78">
        <v>31</v>
      </c>
      <c r="L78">
        <f t="shared" ca="1" si="11"/>
        <v>1.004534725018096E-15</v>
      </c>
      <c r="M78">
        <f t="shared" ca="1" si="13"/>
        <v>0.99999999999999989</v>
      </c>
      <c r="W78">
        <v>31</v>
      </c>
      <c r="X78">
        <f t="shared" ca="1" si="12"/>
        <v>1.004534725018096E-15</v>
      </c>
      <c r="Y78">
        <f t="shared" ca="1" si="14"/>
        <v>0.99999999999999989</v>
      </c>
    </row>
    <row r="79" spans="11:25">
      <c r="K79">
        <v>32</v>
      </c>
      <c r="L79">
        <f t="shared" ca="1" si="11"/>
        <v>1.3254277621766495E-17</v>
      </c>
      <c r="M79">
        <f t="shared" ca="1" si="13"/>
        <v>0.99999999999999989</v>
      </c>
      <c r="W79">
        <v>32</v>
      </c>
      <c r="X79">
        <f t="shared" ca="1" si="12"/>
        <v>1.3254277621766495E-17</v>
      </c>
      <c r="Y79">
        <f t="shared" ca="1" si="14"/>
        <v>0.99999999999999989</v>
      </c>
    </row>
    <row r="80" spans="11:25">
      <c r="K80">
        <v>33</v>
      </c>
      <c r="L80">
        <f t="shared" ca="1" si="11"/>
        <v>0</v>
      </c>
      <c r="M80">
        <f t="shared" ca="1" si="13"/>
        <v>0.99999999999999989</v>
      </c>
      <c r="W80">
        <v>33</v>
      </c>
      <c r="X80">
        <f t="shared" ca="1" si="12"/>
        <v>0</v>
      </c>
      <c r="Y80">
        <f t="shared" ca="1" si="14"/>
        <v>0.99999999999999989</v>
      </c>
    </row>
    <row r="81" spans="11:25">
      <c r="K81">
        <v>34</v>
      </c>
      <c r="L81">
        <f t="shared" ca="1" si="11"/>
        <v>0</v>
      </c>
      <c r="M81">
        <f t="shared" ca="1" si="13"/>
        <v>0.99999999999999989</v>
      </c>
      <c r="W81">
        <v>34</v>
      </c>
      <c r="X81">
        <f t="shared" ca="1" si="12"/>
        <v>0</v>
      </c>
      <c r="Y81">
        <f t="shared" ca="1" si="14"/>
        <v>0.99999999999999989</v>
      </c>
    </row>
    <row r="82" spans="11:25">
      <c r="K82">
        <v>35</v>
      </c>
      <c r="L82">
        <f t="shared" ca="1" si="11"/>
        <v>0</v>
      </c>
      <c r="M82">
        <f t="shared" ca="1" si="13"/>
        <v>0.99999999999999989</v>
      </c>
      <c r="W82">
        <v>35</v>
      </c>
      <c r="X82">
        <f t="shared" ca="1" si="12"/>
        <v>0</v>
      </c>
      <c r="Y82">
        <f t="shared" ca="1" si="14"/>
        <v>0.99999999999999989</v>
      </c>
    </row>
    <row r="83" spans="11:25">
      <c r="K83">
        <v>36</v>
      </c>
      <c r="L83">
        <f t="shared" ca="1" si="11"/>
        <v>0</v>
      </c>
      <c r="M83">
        <f t="shared" ca="1" si="13"/>
        <v>0.99999999999999989</v>
      </c>
      <c r="W83">
        <v>36</v>
      </c>
      <c r="X83">
        <f t="shared" ca="1" si="12"/>
        <v>0</v>
      </c>
      <c r="Y83">
        <f t="shared" ca="1" si="14"/>
        <v>0.99999999999999989</v>
      </c>
    </row>
    <row r="84" spans="11:25">
      <c r="K84">
        <v>37</v>
      </c>
      <c r="L84">
        <f t="shared" ca="1" si="11"/>
        <v>0</v>
      </c>
      <c r="M84">
        <f t="shared" ca="1" si="13"/>
        <v>0.99999999999999989</v>
      </c>
      <c r="W84">
        <v>37</v>
      </c>
      <c r="X84">
        <f t="shared" ca="1" si="12"/>
        <v>0</v>
      </c>
      <c r="Y84">
        <f t="shared" ca="1" si="14"/>
        <v>0.99999999999999989</v>
      </c>
    </row>
    <row r="85" spans="11:25">
      <c r="K85">
        <v>38</v>
      </c>
      <c r="L85">
        <f t="shared" ca="1" si="11"/>
        <v>0</v>
      </c>
      <c r="M85">
        <f t="shared" ca="1" si="13"/>
        <v>0.99999999999999989</v>
      </c>
      <c r="W85">
        <v>38</v>
      </c>
      <c r="X85">
        <f t="shared" ca="1" si="12"/>
        <v>0</v>
      </c>
      <c r="Y85">
        <f t="shared" ca="1" si="14"/>
        <v>0.99999999999999989</v>
      </c>
    </row>
    <row r="86" spans="11:25">
      <c r="K86">
        <v>39</v>
      </c>
      <c r="L86">
        <f t="shared" ca="1" si="11"/>
        <v>0</v>
      </c>
      <c r="M86">
        <f t="shared" ca="1" si="13"/>
        <v>0.99999999999999989</v>
      </c>
      <c r="W86">
        <v>39</v>
      </c>
      <c r="X86">
        <f t="shared" ca="1" si="12"/>
        <v>0</v>
      </c>
      <c r="Y86">
        <f t="shared" ca="1" si="14"/>
        <v>0.99999999999999989</v>
      </c>
    </row>
    <row r="87" spans="11:25">
      <c r="K87">
        <v>40</v>
      </c>
      <c r="L87">
        <f t="shared" ca="1" si="11"/>
        <v>0</v>
      </c>
      <c r="M87">
        <f t="shared" ca="1" si="13"/>
        <v>0.99999999999999989</v>
      </c>
      <c r="W87">
        <v>40</v>
      </c>
      <c r="X87">
        <f t="shared" ca="1" si="12"/>
        <v>0</v>
      </c>
      <c r="Y87">
        <f t="shared" ca="1" si="14"/>
        <v>0.99999999999999989</v>
      </c>
    </row>
    <row r="88" spans="11:25">
      <c r="K88">
        <v>41</v>
      </c>
      <c r="L88">
        <f t="shared" ca="1" si="11"/>
        <v>0</v>
      </c>
      <c r="M88">
        <f t="shared" ca="1" si="13"/>
        <v>0.99999999999999989</v>
      </c>
      <c r="W88">
        <v>41</v>
      </c>
      <c r="X88">
        <f t="shared" ca="1" si="12"/>
        <v>0</v>
      </c>
      <c r="Y88">
        <f t="shared" ca="1" si="14"/>
        <v>0.99999999999999989</v>
      </c>
    </row>
    <row r="89" spans="11:25">
      <c r="K89">
        <v>42</v>
      </c>
      <c r="L89">
        <f t="shared" ca="1" si="11"/>
        <v>0</v>
      </c>
      <c r="M89">
        <f t="shared" ca="1" si="13"/>
        <v>0.99999999999999989</v>
      </c>
      <c r="W89">
        <v>42</v>
      </c>
      <c r="X89">
        <f t="shared" ca="1" si="12"/>
        <v>0</v>
      </c>
      <c r="Y89">
        <f t="shared" ca="1" si="14"/>
        <v>0.99999999999999989</v>
      </c>
    </row>
    <row r="90" spans="11:25">
      <c r="K90">
        <v>43</v>
      </c>
      <c r="L90">
        <f t="shared" ca="1" si="11"/>
        <v>0</v>
      </c>
      <c r="M90">
        <f t="shared" ca="1" si="13"/>
        <v>0.99999999999999989</v>
      </c>
      <c r="W90">
        <v>43</v>
      </c>
      <c r="X90">
        <f t="shared" ca="1" si="12"/>
        <v>0</v>
      </c>
      <c r="Y90">
        <f t="shared" ca="1" si="14"/>
        <v>0.99999999999999989</v>
      </c>
    </row>
    <row r="91" spans="11:25">
      <c r="K91">
        <v>44</v>
      </c>
      <c r="L91">
        <f t="shared" ca="1" si="11"/>
        <v>0</v>
      </c>
      <c r="M91">
        <f t="shared" ca="1" si="13"/>
        <v>0.99999999999999989</v>
      </c>
      <c r="W91">
        <v>44</v>
      </c>
      <c r="X91">
        <f t="shared" ca="1" si="12"/>
        <v>0</v>
      </c>
      <c r="Y91">
        <f t="shared" ca="1" si="14"/>
        <v>0.99999999999999989</v>
      </c>
    </row>
    <row r="92" spans="11:25">
      <c r="K92">
        <v>45</v>
      </c>
      <c r="L92">
        <f t="shared" ca="1" si="11"/>
        <v>0</v>
      </c>
      <c r="M92">
        <f t="shared" ca="1" si="13"/>
        <v>0.99999999999999989</v>
      </c>
      <c r="W92">
        <v>45</v>
      </c>
      <c r="X92">
        <f t="shared" ca="1" si="12"/>
        <v>0</v>
      </c>
      <c r="Y92">
        <f t="shared" ca="1" si="14"/>
        <v>0.99999999999999989</v>
      </c>
    </row>
    <row r="93" spans="11:25">
      <c r="K93">
        <v>46</v>
      </c>
      <c r="L93">
        <f t="shared" ca="1" si="11"/>
        <v>0</v>
      </c>
      <c r="M93">
        <f t="shared" ca="1" si="13"/>
        <v>0.99999999999999989</v>
      </c>
      <c r="W93">
        <v>46</v>
      </c>
      <c r="X93">
        <f t="shared" ca="1" si="12"/>
        <v>0</v>
      </c>
      <c r="Y93">
        <f t="shared" ca="1" si="14"/>
        <v>0.99999999999999989</v>
      </c>
    </row>
    <row r="94" spans="11:25">
      <c r="K94">
        <v>47</v>
      </c>
      <c r="L94">
        <f t="shared" ca="1" si="11"/>
        <v>0</v>
      </c>
      <c r="M94">
        <f t="shared" ca="1" si="13"/>
        <v>0.99999999999999989</v>
      </c>
      <c r="W94">
        <v>47</v>
      </c>
      <c r="X94">
        <f t="shared" ca="1" si="12"/>
        <v>0</v>
      </c>
      <c r="Y94">
        <f t="shared" ca="1" si="14"/>
        <v>0.99999999999999989</v>
      </c>
    </row>
    <row r="95" spans="11:25">
      <c r="K95">
        <v>48</v>
      </c>
      <c r="L95">
        <f t="shared" ca="1" si="11"/>
        <v>0</v>
      </c>
      <c r="M95">
        <f t="shared" ca="1" si="13"/>
        <v>0.99999999999999989</v>
      </c>
      <c r="W95">
        <v>48</v>
      </c>
      <c r="X95">
        <f t="shared" ca="1" si="12"/>
        <v>0</v>
      </c>
      <c r="Y95">
        <f t="shared" ca="1" si="14"/>
        <v>0.99999999999999989</v>
      </c>
    </row>
    <row r="96" spans="11:25">
      <c r="K96">
        <v>49</v>
      </c>
      <c r="L96">
        <f t="shared" ca="1" si="11"/>
        <v>0</v>
      </c>
      <c r="M96">
        <f t="shared" ca="1" si="13"/>
        <v>0.99999999999999989</v>
      </c>
      <c r="W96">
        <v>49</v>
      </c>
      <c r="X96">
        <f t="shared" ca="1" si="12"/>
        <v>0</v>
      </c>
      <c r="Y96">
        <f t="shared" ca="1" si="14"/>
        <v>0.99999999999999989</v>
      </c>
    </row>
    <row r="97" spans="11:25">
      <c r="K97">
        <v>50</v>
      </c>
      <c r="L97">
        <f t="shared" ca="1" si="11"/>
        <v>0</v>
      </c>
      <c r="M97">
        <f t="shared" ca="1" si="13"/>
        <v>0.99999999999999989</v>
      </c>
      <c r="W97">
        <v>50</v>
      </c>
      <c r="X97">
        <f t="shared" ca="1" si="12"/>
        <v>0</v>
      </c>
      <c r="Y97">
        <f t="shared" ca="1" si="14"/>
        <v>0.99999999999999989</v>
      </c>
    </row>
    <row r="98" spans="11:25">
      <c r="K98">
        <v>51</v>
      </c>
      <c r="L98">
        <f t="shared" ca="1" si="11"/>
        <v>0</v>
      </c>
      <c r="M98">
        <f t="shared" ca="1" si="13"/>
        <v>0.99999999999999989</v>
      </c>
      <c r="W98">
        <v>51</v>
      </c>
      <c r="X98">
        <f t="shared" ca="1" si="12"/>
        <v>0</v>
      </c>
      <c r="Y98">
        <f t="shared" ca="1" si="14"/>
        <v>0.99999999999999989</v>
      </c>
    </row>
    <row r="99" spans="11:25">
      <c r="K99">
        <v>52</v>
      </c>
      <c r="L99">
        <f t="shared" ca="1" si="11"/>
        <v>0</v>
      </c>
      <c r="M99">
        <f t="shared" ca="1" si="13"/>
        <v>0.99999999999999989</v>
      </c>
      <c r="W99">
        <v>52</v>
      </c>
      <c r="X99">
        <f t="shared" ca="1" si="12"/>
        <v>0</v>
      </c>
      <c r="Y99">
        <f t="shared" ca="1" si="14"/>
        <v>0.99999999999999989</v>
      </c>
    </row>
    <row r="100" spans="11:25">
      <c r="K100">
        <v>53</v>
      </c>
      <c r="L100">
        <f t="shared" ca="1" si="11"/>
        <v>0</v>
      </c>
      <c r="M100">
        <f t="shared" ca="1" si="13"/>
        <v>0.99999999999999989</v>
      </c>
      <c r="W100">
        <v>53</v>
      </c>
      <c r="X100">
        <f t="shared" ca="1" si="12"/>
        <v>0</v>
      </c>
      <c r="Y100">
        <f t="shared" ca="1" si="14"/>
        <v>0.99999999999999989</v>
      </c>
    </row>
    <row r="101" spans="11:25">
      <c r="K101">
        <v>54</v>
      </c>
      <c r="L101">
        <f t="shared" ca="1" si="11"/>
        <v>0</v>
      </c>
      <c r="M101">
        <f t="shared" ca="1" si="13"/>
        <v>0.99999999999999989</v>
      </c>
      <c r="W101">
        <v>54</v>
      </c>
      <c r="X101">
        <f t="shared" ca="1" si="12"/>
        <v>0</v>
      </c>
      <c r="Y101">
        <f t="shared" ca="1" si="14"/>
        <v>0.99999999999999989</v>
      </c>
    </row>
    <row r="102" spans="11:25">
      <c r="K102">
        <v>55</v>
      </c>
      <c r="L102">
        <f t="shared" ca="1" si="11"/>
        <v>0</v>
      </c>
      <c r="M102">
        <f t="shared" ca="1" si="13"/>
        <v>0.99999999999999989</v>
      </c>
      <c r="W102">
        <v>55</v>
      </c>
      <c r="X102">
        <f t="shared" ca="1" si="12"/>
        <v>0</v>
      </c>
      <c r="Y102">
        <f t="shared" ca="1" si="14"/>
        <v>0.99999999999999989</v>
      </c>
    </row>
    <row r="103" spans="11:25">
      <c r="K103">
        <v>56</v>
      </c>
      <c r="L103">
        <f t="shared" ca="1" si="11"/>
        <v>0</v>
      </c>
      <c r="M103">
        <f t="shared" ca="1" si="13"/>
        <v>0.99999999999999989</v>
      </c>
      <c r="W103">
        <v>56</v>
      </c>
      <c r="X103">
        <f t="shared" ca="1" si="12"/>
        <v>0</v>
      </c>
      <c r="Y103">
        <f t="shared" ca="1" si="14"/>
        <v>0.99999999999999989</v>
      </c>
    </row>
    <row r="104" spans="11:25">
      <c r="K104">
        <v>57</v>
      </c>
      <c r="L104">
        <f t="shared" ca="1" si="11"/>
        <v>0</v>
      </c>
      <c r="M104">
        <f t="shared" ca="1" si="13"/>
        <v>0.99999999999999989</v>
      </c>
      <c r="W104">
        <v>57</v>
      </c>
      <c r="X104">
        <f t="shared" ca="1" si="12"/>
        <v>0</v>
      </c>
      <c r="Y104">
        <f t="shared" ca="1" si="14"/>
        <v>0.99999999999999989</v>
      </c>
    </row>
    <row r="105" spans="11:25">
      <c r="K105">
        <v>58</v>
      </c>
      <c r="L105">
        <f t="shared" ca="1" si="11"/>
        <v>0</v>
      </c>
      <c r="M105">
        <f t="shared" ca="1" si="13"/>
        <v>0.99999999999999989</v>
      </c>
      <c r="W105">
        <v>58</v>
      </c>
      <c r="X105">
        <f t="shared" ca="1" si="12"/>
        <v>0</v>
      </c>
      <c r="Y105">
        <f t="shared" ca="1" si="14"/>
        <v>0.99999999999999989</v>
      </c>
    </row>
    <row r="106" spans="11:25">
      <c r="K106">
        <v>59</v>
      </c>
      <c r="L106">
        <f t="shared" ca="1" si="11"/>
        <v>0</v>
      </c>
      <c r="M106">
        <f t="shared" ca="1" si="13"/>
        <v>0.99999999999999989</v>
      </c>
      <c r="W106">
        <v>59</v>
      </c>
      <c r="X106">
        <f t="shared" ca="1" si="12"/>
        <v>0</v>
      </c>
      <c r="Y106">
        <f t="shared" ca="1" si="14"/>
        <v>0.99999999999999989</v>
      </c>
    </row>
    <row r="107" spans="11:25">
      <c r="K107">
        <v>60</v>
      </c>
      <c r="L107">
        <f t="shared" ca="1" si="11"/>
        <v>0</v>
      </c>
      <c r="M107">
        <f t="shared" ca="1" si="13"/>
        <v>0.99999999999999989</v>
      </c>
      <c r="W107">
        <v>60</v>
      </c>
      <c r="X107">
        <f t="shared" ca="1" si="12"/>
        <v>0</v>
      </c>
      <c r="Y107">
        <f t="shared" ca="1" si="14"/>
        <v>0.99999999999999989</v>
      </c>
    </row>
    <row r="108" spans="11:25">
      <c r="K108">
        <v>61</v>
      </c>
      <c r="L108">
        <f t="shared" ca="1" si="11"/>
        <v>0</v>
      </c>
      <c r="M108">
        <f t="shared" ca="1" si="13"/>
        <v>0.99999999999999989</v>
      </c>
      <c r="W108">
        <v>61</v>
      </c>
      <c r="X108">
        <f t="shared" ca="1" si="12"/>
        <v>0</v>
      </c>
      <c r="Y108">
        <f t="shared" ca="1" si="14"/>
        <v>0.99999999999999989</v>
      </c>
    </row>
    <row r="109" spans="11:25">
      <c r="K109">
        <v>62</v>
      </c>
      <c r="L109">
        <f t="shared" ca="1" si="11"/>
        <v>0</v>
      </c>
      <c r="M109">
        <f t="shared" ca="1" si="13"/>
        <v>0.99999999999999989</v>
      </c>
      <c r="W109">
        <v>62</v>
      </c>
      <c r="X109">
        <f t="shared" ca="1" si="12"/>
        <v>0</v>
      </c>
      <c r="Y109">
        <f t="shared" ca="1" si="14"/>
        <v>0.99999999999999989</v>
      </c>
    </row>
    <row r="110" spans="11:25">
      <c r="K110">
        <v>63</v>
      </c>
      <c r="L110">
        <f t="shared" ca="1" si="11"/>
        <v>0</v>
      </c>
      <c r="M110">
        <f t="shared" ca="1" si="13"/>
        <v>0.99999999999999989</v>
      </c>
      <c r="W110">
        <v>63</v>
      </c>
      <c r="X110">
        <f t="shared" ca="1" si="12"/>
        <v>0</v>
      </c>
      <c r="Y110">
        <f t="shared" ca="1" si="14"/>
        <v>0.99999999999999989</v>
      </c>
    </row>
    <row r="111" spans="11:25">
      <c r="K111">
        <v>64</v>
      </c>
      <c r="L111">
        <f t="shared" ref="L111:L174" ca="1" si="15">IF(K111&lt;=$T$19,BINOMDIST(K111,$T$19,$N$43,FALSE),0)</f>
        <v>0</v>
      </c>
      <c r="M111">
        <f t="shared" ca="1" si="13"/>
        <v>0.99999999999999989</v>
      </c>
      <c r="W111">
        <v>64</v>
      </c>
      <c r="X111">
        <f t="shared" ref="X111:X174" ca="1" si="16">IF(W111&lt;=$T$19,BINOMDIST(W111,$T$19,$N$43,FALSE),0)</f>
        <v>0</v>
      </c>
      <c r="Y111">
        <f t="shared" ca="1" si="14"/>
        <v>0.99999999999999989</v>
      </c>
    </row>
    <row r="112" spans="11:25">
      <c r="K112">
        <v>65</v>
      </c>
      <c r="L112">
        <f t="shared" ca="1" si="15"/>
        <v>0</v>
      </c>
      <c r="M112">
        <f t="shared" ca="1" si="13"/>
        <v>0.99999999999999989</v>
      </c>
      <c r="W112">
        <v>65</v>
      </c>
      <c r="X112">
        <f t="shared" ca="1" si="16"/>
        <v>0</v>
      </c>
      <c r="Y112">
        <f t="shared" ca="1" si="14"/>
        <v>0.99999999999999989</v>
      </c>
    </row>
    <row r="113" spans="11:25">
      <c r="K113">
        <v>66</v>
      </c>
      <c r="L113">
        <f t="shared" ca="1" si="15"/>
        <v>0</v>
      </c>
      <c r="M113">
        <f t="shared" ref="M113:M176" ca="1" si="17">L113+M112</f>
        <v>0.99999999999999989</v>
      </c>
      <c r="W113">
        <v>66</v>
      </c>
      <c r="X113">
        <f t="shared" ca="1" si="16"/>
        <v>0</v>
      </c>
      <c r="Y113">
        <f t="shared" ref="Y113:Y176" ca="1" si="18">X113+Y112</f>
        <v>0.99999999999999989</v>
      </c>
    </row>
    <row r="114" spans="11:25">
      <c r="K114">
        <v>67</v>
      </c>
      <c r="L114">
        <f t="shared" ca="1" si="15"/>
        <v>0</v>
      </c>
      <c r="M114">
        <f t="shared" ca="1" si="17"/>
        <v>0.99999999999999989</v>
      </c>
      <c r="W114">
        <v>67</v>
      </c>
      <c r="X114">
        <f t="shared" ca="1" si="16"/>
        <v>0</v>
      </c>
      <c r="Y114">
        <f t="shared" ca="1" si="18"/>
        <v>0.99999999999999989</v>
      </c>
    </row>
    <row r="115" spans="11:25">
      <c r="K115">
        <v>68</v>
      </c>
      <c r="L115">
        <f t="shared" ca="1" si="15"/>
        <v>0</v>
      </c>
      <c r="M115">
        <f t="shared" ca="1" si="17"/>
        <v>0.99999999999999989</v>
      </c>
      <c r="W115">
        <v>68</v>
      </c>
      <c r="X115">
        <f t="shared" ca="1" si="16"/>
        <v>0</v>
      </c>
      <c r="Y115">
        <f t="shared" ca="1" si="18"/>
        <v>0.99999999999999989</v>
      </c>
    </row>
    <row r="116" spans="11:25">
      <c r="K116">
        <v>69</v>
      </c>
      <c r="L116">
        <f t="shared" ca="1" si="15"/>
        <v>0</v>
      </c>
      <c r="M116">
        <f t="shared" ca="1" si="17"/>
        <v>0.99999999999999989</v>
      </c>
      <c r="W116">
        <v>69</v>
      </c>
      <c r="X116">
        <f t="shared" ca="1" si="16"/>
        <v>0</v>
      </c>
      <c r="Y116">
        <f t="shared" ca="1" si="18"/>
        <v>0.99999999999999989</v>
      </c>
    </row>
    <row r="117" spans="11:25">
      <c r="K117">
        <v>70</v>
      </c>
      <c r="L117">
        <f t="shared" ca="1" si="15"/>
        <v>0</v>
      </c>
      <c r="M117">
        <f t="shared" ca="1" si="17"/>
        <v>0.99999999999999989</v>
      </c>
      <c r="W117">
        <v>70</v>
      </c>
      <c r="X117">
        <f t="shared" ca="1" si="16"/>
        <v>0</v>
      </c>
      <c r="Y117">
        <f t="shared" ca="1" si="18"/>
        <v>0.99999999999999989</v>
      </c>
    </row>
    <row r="118" spans="11:25">
      <c r="K118">
        <v>71</v>
      </c>
      <c r="L118">
        <f t="shared" ca="1" si="15"/>
        <v>0</v>
      </c>
      <c r="M118">
        <f t="shared" ca="1" si="17"/>
        <v>0.99999999999999989</v>
      </c>
      <c r="W118">
        <v>71</v>
      </c>
      <c r="X118">
        <f t="shared" ca="1" si="16"/>
        <v>0</v>
      </c>
      <c r="Y118">
        <f t="shared" ca="1" si="18"/>
        <v>0.99999999999999989</v>
      </c>
    </row>
    <row r="119" spans="11:25">
      <c r="K119">
        <v>72</v>
      </c>
      <c r="L119">
        <f t="shared" ca="1" si="15"/>
        <v>0</v>
      </c>
      <c r="M119">
        <f t="shared" ca="1" si="17"/>
        <v>0.99999999999999989</v>
      </c>
      <c r="W119">
        <v>72</v>
      </c>
      <c r="X119">
        <f t="shared" ca="1" si="16"/>
        <v>0</v>
      </c>
      <c r="Y119">
        <f t="shared" ca="1" si="18"/>
        <v>0.99999999999999989</v>
      </c>
    </row>
    <row r="120" spans="11:25">
      <c r="K120">
        <v>73</v>
      </c>
      <c r="L120">
        <f t="shared" ca="1" si="15"/>
        <v>0</v>
      </c>
      <c r="M120">
        <f t="shared" ca="1" si="17"/>
        <v>0.99999999999999989</v>
      </c>
      <c r="W120">
        <v>73</v>
      </c>
      <c r="X120">
        <f t="shared" ca="1" si="16"/>
        <v>0</v>
      </c>
      <c r="Y120">
        <f t="shared" ca="1" si="18"/>
        <v>0.99999999999999989</v>
      </c>
    </row>
    <row r="121" spans="11:25">
      <c r="K121">
        <v>74</v>
      </c>
      <c r="L121">
        <f t="shared" ca="1" si="15"/>
        <v>0</v>
      </c>
      <c r="M121">
        <f t="shared" ca="1" si="17"/>
        <v>0.99999999999999989</v>
      </c>
      <c r="W121">
        <v>74</v>
      </c>
      <c r="X121">
        <f t="shared" ca="1" si="16"/>
        <v>0</v>
      </c>
      <c r="Y121">
        <f t="shared" ca="1" si="18"/>
        <v>0.99999999999999989</v>
      </c>
    </row>
    <row r="122" spans="11:25">
      <c r="K122">
        <v>75</v>
      </c>
      <c r="L122">
        <f t="shared" ca="1" si="15"/>
        <v>0</v>
      </c>
      <c r="M122">
        <f t="shared" ca="1" si="17"/>
        <v>0.99999999999999989</v>
      </c>
      <c r="W122">
        <v>75</v>
      </c>
      <c r="X122">
        <f t="shared" ca="1" si="16"/>
        <v>0</v>
      </c>
      <c r="Y122">
        <f t="shared" ca="1" si="18"/>
        <v>0.99999999999999989</v>
      </c>
    </row>
    <row r="123" spans="11:25">
      <c r="K123">
        <v>76</v>
      </c>
      <c r="L123">
        <f t="shared" ca="1" si="15"/>
        <v>0</v>
      </c>
      <c r="M123">
        <f t="shared" ca="1" si="17"/>
        <v>0.99999999999999989</v>
      </c>
      <c r="W123">
        <v>76</v>
      </c>
      <c r="X123">
        <f t="shared" ca="1" si="16"/>
        <v>0</v>
      </c>
      <c r="Y123">
        <f t="shared" ca="1" si="18"/>
        <v>0.99999999999999989</v>
      </c>
    </row>
    <row r="124" spans="11:25">
      <c r="K124">
        <v>77</v>
      </c>
      <c r="L124">
        <f t="shared" ca="1" si="15"/>
        <v>0</v>
      </c>
      <c r="M124">
        <f t="shared" ca="1" si="17"/>
        <v>0.99999999999999989</v>
      </c>
      <c r="W124">
        <v>77</v>
      </c>
      <c r="X124">
        <f t="shared" ca="1" si="16"/>
        <v>0</v>
      </c>
      <c r="Y124">
        <f t="shared" ca="1" si="18"/>
        <v>0.99999999999999989</v>
      </c>
    </row>
    <row r="125" spans="11:25">
      <c r="K125">
        <v>78</v>
      </c>
      <c r="L125">
        <f t="shared" ca="1" si="15"/>
        <v>0</v>
      </c>
      <c r="M125">
        <f t="shared" ca="1" si="17"/>
        <v>0.99999999999999989</v>
      </c>
      <c r="W125">
        <v>78</v>
      </c>
      <c r="X125">
        <f t="shared" ca="1" si="16"/>
        <v>0</v>
      </c>
      <c r="Y125">
        <f t="shared" ca="1" si="18"/>
        <v>0.99999999999999989</v>
      </c>
    </row>
    <row r="126" spans="11:25">
      <c r="K126">
        <v>79</v>
      </c>
      <c r="L126">
        <f t="shared" ca="1" si="15"/>
        <v>0</v>
      </c>
      <c r="M126">
        <f t="shared" ca="1" si="17"/>
        <v>0.99999999999999989</v>
      </c>
      <c r="W126">
        <v>79</v>
      </c>
      <c r="X126">
        <f t="shared" ca="1" si="16"/>
        <v>0</v>
      </c>
      <c r="Y126">
        <f t="shared" ca="1" si="18"/>
        <v>0.99999999999999989</v>
      </c>
    </row>
    <row r="127" spans="11:25">
      <c r="K127">
        <v>80</v>
      </c>
      <c r="L127">
        <f t="shared" ca="1" si="15"/>
        <v>0</v>
      </c>
      <c r="M127">
        <f t="shared" ca="1" si="17"/>
        <v>0.99999999999999989</v>
      </c>
      <c r="W127">
        <v>80</v>
      </c>
      <c r="X127">
        <f t="shared" ca="1" si="16"/>
        <v>0</v>
      </c>
      <c r="Y127">
        <f t="shared" ca="1" si="18"/>
        <v>0.99999999999999989</v>
      </c>
    </row>
    <row r="128" spans="11:25">
      <c r="K128">
        <v>81</v>
      </c>
      <c r="L128">
        <f t="shared" ca="1" si="15"/>
        <v>0</v>
      </c>
      <c r="M128">
        <f t="shared" ca="1" si="17"/>
        <v>0.99999999999999989</v>
      </c>
      <c r="W128">
        <v>81</v>
      </c>
      <c r="X128">
        <f t="shared" ca="1" si="16"/>
        <v>0</v>
      </c>
      <c r="Y128">
        <f t="shared" ca="1" si="18"/>
        <v>0.99999999999999989</v>
      </c>
    </row>
    <row r="129" spans="11:25">
      <c r="K129">
        <v>82</v>
      </c>
      <c r="L129">
        <f t="shared" ca="1" si="15"/>
        <v>0</v>
      </c>
      <c r="M129">
        <f t="shared" ca="1" si="17"/>
        <v>0.99999999999999989</v>
      </c>
      <c r="W129">
        <v>82</v>
      </c>
      <c r="X129">
        <f t="shared" ca="1" si="16"/>
        <v>0</v>
      </c>
      <c r="Y129">
        <f t="shared" ca="1" si="18"/>
        <v>0.99999999999999989</v>
      </c>
    </row>
    <row r="130" spans="11:25">
      <c r="K130">
        <v>83</v>
      </c>
      <c r="L130">
        <f t="shared" ca="1" si="15"/>
        <v>0</v>
      </c>
      <c r="M130">
        <f t="shared" ca="1" si="17"/>
        <v>0.99999999999999989</v>
      </c>
      <c r="W130">
        <v>83</v>
      </c>
      <c r="X130">
        <f t="shared" ca="1" si="16"/>
        <v>0</v>
      </c>
      <c r="Y130">
        <f t="shared" ca="1" si="18"/>
        <v>0.99999999999999989</v>
      </c>
    </row>
    <row r="131" spans="11:25">
      <c r="K131">
        <v>84</v>
      </c>
      <c r="L131">
        <f t="shared" ca="1" si="15"/>
        <v>0</v>
      </c>
      <c r="M131">
        <f t="shared" ca="1" si="17"/>
        <v>0.99999999999999989</v>
      </c>
      <c r="W131">
        <v>84</v>
      </c>
      <c r="X131">
        <f t="shared" ca="1" si="16"/>
        <v>0</v>
      </c>
      <c r="Y131">
        <f t="shared" ca="1" si="18"/>
        <v>0.99999999999999989</v>
      </c>
    </row>
    <row r="132" spans="11:25">
      <c r="K132">
        <v>85</v>
      </c>
      <c r="L132">
        <f t="shared" ca="1" si="15"/>
        <v>0</v>
      </c>
      <c r="M132">
        <f t="shared" ca="1" si="17"/>
        <v>0.99999999999999989</v>
      </c>
      <c r="W132">
        <v>85</v>
      </c>
      <c r="X132">
        <f t="shared" ca="1" si="16"/>
        <v>0</v>
      </c>
      <c r="Y132">
        <f t="shared" ca="1" si="18"/>
        <v>0.99999999999999989</v>
      </c>
    </row>
    <row r="133" spans="11:25">
      <c r="K133">
        <v>86</v>
      </c>
      <c r="L133">
        <f t="shared" ca="1" si="15"/>
        <v>0</v>
      </c>
      <c r="M133">
        <f t="shared" ca="1" si="17"/>
        <v>0.99999999999999989</v>
      </c>
      <c r="W133">
        <v>86</v>
      </c>
      <c r="X133">
        <f t="shared" ca="1" si="16"/>
        <v>0</v>
      </c>
      <c r="Y133">
        <f t="shared" ca="1" si="18"/>
        <v>0.99999999999999989</v>
      </c>
    </row>
    <row r="134" spans="11:25">
      <c r="K134">
        <v>87</v>
      </c>
      <c r="L134">
        <f t="shared" ca="1" si="15"/>
        <v>0</v>
      </c>
      <c r="M134">
        <f t="shared" ca="1" si="17"/>
        <v>0.99999999999999989</v>
      </c>
      <c r="W134">
        <v>87</v>
      </c>
      <c r="X134">
        <f t="shared" ca="1" si="16"/>
        <v>0</v>
      </c>
      <c r="Y134">
        <f t="shared" ca="1" si="18"/>
        <v>0.99999999999999989</v>
      </c>
    </row>
    <row r="135" spans="11:25">
      <c r="K135">
        <v>88</v>
      </c>
      <c r="L135">
        <f t="shared" ca="1" si="15"/>
        <v>0</v>
      </c>
      <c r="M135">
        <f t="shared" ca="1" si="17"/>
        <v>0.99999999999999989</v>
      </c>
      <c r="W135">
        <v>88</v>
      </c>
      <c r="X135">
        <f t="shared" ca="1" si="16"/>
        <v>0</v>
      </c>
      <c r="Y135">
        <f t="shared" ca="1" si="18"/>
        <v>0.99999999999999989</v>
      </c>
    </row>
    <row r="136" spans="11:25">
      <c r="K136">
        <v>89</v>
      </c>
      <c r="L136">
        <f t="shared" ca="1" si="15"/>
        <v>0</v>
      </c>
      <c r="M136">
        <f t="shared" ca="1" si="17"/>
        <v>0.99999999999999989</v>
      </c>
      <c r="W136">
        <v>89</v>
      </c>
      <c r="X136">
        <f t="shared" ca="1" si="16"/>
        <v>0</v>
      </c>
      <c r="Y136">
        <f t="shared" ca="1" si="18"/>
        <v>0.99999999999999989</v>
      </c>
    </row>
    <row r="137" spans="11:25">
      <c r="K137">
        <v>90</v>
      </c>
      <c r="L137">
        <f t="shared" ca="1" si="15"/>
        <v>0</v>
      </c>
      <c r="M137">
        <f t="shared" ca="1" si="17"/>
        <v>0.99999999999999989</v>
      </c>
      <c r="W137">
        <v>90</v>
      </c>
      <c r="X137">
        <f t="shared" ca="1" si="16"/>
        <v>0</v>
      </c>
      <c r="Y137">
        <f t="shared" ca="1" si="18"/>
        <v>0.99999999999999989</v>
      </c>
    </row>
    <row r="138" spans="11:25">
      <c r="K138">
        <v>91</v>
      </c>
      <c r="L138">
        <f t="shared" ca="1" si="15"/>
        <v>0</v>
      </c>
      <c r="M138">
        <f t="shared" ca="1" si="17"/>
        <v>0.99999999999999989</v>
      </c>
      <c r="W138">
        <v>91</v>
      </c>
      <c r="X138">
        <f t="shared" ca="1" si="16"/>
        <v>0</v>
      </c>
      <c r="Y138">
        <f t="shared" ca="1" si="18"/>
        <v>0.99999999999999989</v>
      </c>
    </row>
    <row r="139" spans="11:25">
      <c r="K139">
        <v>92</v>
      </c>
      <c r="L139">
        <f t="shared" ca="1" si="15"/>
        <v>0</v>
      </c>
      <c r="M139">
        <f t="shared" ca="1" si="17"/>
        <v>0.99999999999999989</v>
      </c>
      <c r="W139">
        <v>92</v>
      </c>
      <c r="X139">
        <f t="shared" ca="1" si="16"/>
        <v>0</v>
      </c>
      <c r="Y139">
        <f t="shared" ca="1" si="18"/>
        <v>0.99999999999999989</v>
      </c>
    </row>
    <row r="140" spans="11:25">
      <c r="K140">
        <v>93</v>
      </c>
      <c r="L140">
        <f t="shared" ca="1" si="15"/>
        <v>0</v>
      </c>
      <c r="M140">
        <f t="shared" ca="1" si="17"/>
        <v>0.99999999999999989</v>
      </c>
      <c r="W140">
        <v>93</v>
      </c>
      <c r="X140">
        <f t="shared" ca="1" si="16"/>
        <v>0</v>
      </c>
      <c r="Y140">
        <f t="shared" ca="1" si="18"/>
        <v>0.99999999999999989</v>
      </c>
    </row>
    <row r="141" spans="11:25">
      <c r="K141">
        <v>94</v>
      </c>
      <c r="L141">
        <f t="shared" ca="1" si="15"/>
        <v>0</v>
      </c>
      <c r="M141">
        <f t="shared" ca="1" si="17"/>
        <v>0.99999999999999989</v>
      </c>
      <c r="W141">
        <v>94</v>
      </c>
      <c r="X141">
        <f t="shared" ca="1" si="16"/>
        <v>0</v>
      </c>
      <c r="Y141">
        <f t="shared" ca="1" si="18"/>
        <v>0.99999999999999989</v>
      </c>
    </row>
    <row r="142" spans="11:25">
      <c r="K142">
        <v>95</v>
      </c>
      <c r="L142">
        <f t="shared" ca="1" si="15"/>
        <v>0</v>
      </c>
      <c r="M142">
        <f t="shared" ca="1" si="17"/>
        <v>0.99999999999999989</v>
      </c>
      <c r="W142">
        <v>95</v>
      </c>
      <c r="X142">
        <f t="shared" ca="1" si="16"/>
        <v>0</v>
      </c>
      <c r="Y142">
        <f t="shared" ca="1" si="18"/>
        <v>0.99999999999999989</v>
      </c>
    </row>
    <row r="143" spans="11:25">
      <c r="K143">
        <v>96</v>
      </c>
      <c r="L143">
        <f t="shared" ca="1" si="15"/>
        <v>0</v>
      </c>
      <c r="M143">
        <f t="shared" ca="1" si="17"/>
        <v>0.99999999999999989</v>
      </c>
      <c r="W143">
        <v>96</v>
      </c>
      <c r="X143">
        <f t="shared" ca="1" si="16"/>
        <v>0</v>
      </c>
      <c r="Y143">
        <f t="shared" ca="1" si="18"/>
        <v>0.99999999999999989</v>
      </c>
    </row>
    <row r="144" spans="11:25">
      <c r="K144">
        <v>97</v>
      </c>
      <c r="L144">
        <f t="shared" ca="1" si="15"/>
        <v>0</v>
      </c>
      <c r="M144">
        <f t="shared" ca="1" si="17"/>
        <v>0.99999999999999989</v>
      </c>
      <c r="W144">
        <v>97</v>
      </c>
      <c r="X144">
        <f t="shared" ca="1" si="16"/>
        <v>0</v>
      </c>
      <c r="Y144">
        <f t="shared" ca="1" si="18"/>
        <v>0.99999999999999989</v>
      </c>
    </row>
    <row r="145" spans="11:25">
      <c r="K145">
        <v>98</v>
      </c>
      <c r="L145">
        <f t="shared" ca="1" si="15"/>
        <v>0</v>
      </c>
      <c r="M145">
        <f t="shared" ca="1" si="17"/>
        <v>0.99999999999999989</v>
      </c>
      <c r="W145">
        <v>98</v>
      </c>
      <c r="X145">
        <f t="shared" ca="1" si="16"/>
        <v>0</v>
      </c>
      <c r="Y145">
        <f t="shared" ca="1" si="18"/>
        <v>0.99999999999999989</v>
      </c>
    </row>
    <row r="146" spans="11:25">
      <c r="K146">
        <v>99</v>
      </c>
      <c r="L146">
        <f t="shared" ca="1" si="15"/>
        <v>0</v>
      </c>
      <c r="M146">
        <f t="shared" ca="1" si="17"/>
        <v>0.99999999999999989</v>
      </c>
      <c r="W146">
        <v>99</v>
      </c>
      <c r="X146">
        <f t="shared" ca="1" si="16"/>
        <v>0</v>
      </c>
      <c r="Y146">
        <f t="shared" ca="1" si="18"/>
        <v>0.99999999999999989</v>
      </c>
    </row>
    <row r="147" spans="11:25">
      <c r="K147">
        <v>100</v>
      </c>
      <c r="L147">
        <f t="shared" ca="1" si="15"/>
        <v>0</v>
      </c>
      <c r="M147">
        <f t="shared" ca="1" si="17"/>
        <v>0.99999999999999989</v>
      </c>
      <c r="W147">
        <v>100</v>
      </c>
      <c r="X147">
        <f t="shared" ca="1" si="16"/>
        <v>0</v>
      </c>
      <c r="Y147">
        <f t="shared" ca="1" si="18"/>
        <v>0.99999999999999989</v>
      </c>
    </row>
    <row r="148" spans="11:25">
      <c r="K148">
        <v>101</v>
      </c>
      <c r="L148">
        <f t="shared" ca="1" si="15"/>
        <v>0</v>
      </c>
      <c r="M148">
        <f t="shared" ca="1" si="17"/>
        <v>0.99999999999999989</v>
      </c>
      <c r="W148">
        <v>101</v>
      </c>
      <c r="X148">
        <f t="shared" ca="1" si="16"/>
        <v>0</v>
      </c>
      <c r="Y148">
        <f t="shared" ca="1" si="18"/>
        <v>0.99999999999999989</v>
      </c>
    </row>
    <row r="149" spans="11:25">
      <c r="K149">
        <v>102</v>
      </c>
      <c r="L149">
        <f t="shared" ca="1" si="15"/>
        <v>0</v>
      </c>
      <c r="M149">
        <f t="shared" ca="1" si="17"/>
        <v>0.99999999999999989</v>
      </c>
      <c r="W149">
        <v>102</v>
      </c>
      <c r="X149">
        <f t="shared" ca="1" si="16"/>
        <v>0</v>
      </c>
      <c r="Y149">
        <f t="shared" ca="1" si="18"/>
        <v>0.99999999999999989</v>
      </c>
    </row>
    <row r="150" spans="11:25">
      <c r="K150">
        <v>103</v>
      </c>
      <c r="L150">
        <f t="shared" ca="1" si="15"/>
        <v>0</v>
      </c>
      <c r="M150">
        <f t="shared" ca="1" si="17"/>
        <v>0.99999999999999989</v>
      </c>
      <c r="W150">
        <v>103</v>
      </c>
      <c r="X150">
        <f t="shared" ca="1" si="16"/>
        <v>0</v>
      </c>
      <c r="Y150">
        <f t="shared" ca="1" si="18"/>
        <v>0.99999999999999989</v>
      </c>
    </row>
    <row r="151" spans="11:25">
      <c r="K151">
        <v>104</v>
      </c>
      <c r="L151">
        <f t="shared" ca="1" si="15"/>
        <v>0</v>
      </c>
      <c r="M151">
        <f t="shared" ca="1" si="17"/>
        <v>0.99999999999999989</v>
      </c>
      <c r="W151">
        <v>104</v>
      </c>
      <c r="X151">
        <f t="shared" ca="1" si="16"/>
        <v>0</v>
      </c>
      <c r="Y151">
        <f t="shared" ca="1" si="18"/>
        <v>0.99999999999999989</v>
      </c>
    </row>
    <row r="152" spans="11:25">
      <c r="K152">
        <v>105</v>
      </c>
      <c r="L152">
        <f t="shared" ca="1" si="15"/>
        <v>0</v>
      </c>
      <c r="M152">
        <f t="shared" ca="1" si="17"/>
        <v>0.99999999999999989</v>
      </c>
      <c r="W152">
        <v>105</v>
      </c>
      <c r="X152">
        <f t="shared" ca="1" si="16"/>
        <v>0</v>
      </c>
      <c r="Y152">
        <f t="shared" ca="1" si="18"/>
        <v>0.99999999999999989</v>
      </c>
    </row>
    <row r="153" spans="11:25">
      <c r="K153">
        <v>106</v>
      </c>
      <c r="L153">
        <f t="shared" ca="1" si="15"/>
        <v>0</v>
      </c>
      <c r="M153">
        <f t="shared" ca="1" si="17"/>
        <v>0.99999999999999989</v>
      </c>
      <c r="W153">
        <v>106</v>
      </c>
      <c r="X153">
        <f t="shared" ca="1" si="16"/>
        <v>0</v>
      </c>
      <c r="Y153">
        <f t="shared" ca="1" si="18"/>
        <v>0.99999999999999989</v>
      </c>
    </row>
    <row r="154" spans="11:25">
      <c r="K154">
        <v>107</v>
      </c>
      <c r="L154">
        <f t="shared" ca="1" si="15"/>
        <v>0</v>
      </c>
      <c r="M154">
        <f t="shared" ca="1" si="17"/>
        <v>0.99999999999999989</v>
      </c>
      <c r="W154">
        <v>107</v>
      </c>
      <c r="X154">
        <f t="shared" ca="1" si="16"/>
        <v>0</v>
      </c>
      <c r="Y154">
        <f t="shared" ca="1" si="18"/>
        <v>0.99999999999999989</v>
      </c>
    </row>
    <row r="155" spans="11:25">
      <c r="K155">
        <v>108</v>
      </c>
      <c r="L155">
        <f t="shared" ca="1" si="15"/>
        <v>0</v>
      </c>
      <c r="M155">
        <f t="shared" ca="1" si="17"/>
        <v>0.99999999999999989</v>
      </c>
      <c r="W155">
        <v>108</v>
      </c>
      <c r="X155">
        <f t="shared" ca="1" si="16"/>
        <v>0</v>
      </c>
      <c r="Y155">
        <f t="shared" ca="1" si="18"/>
        <v>0.99999999999999989</v>
      </c>
    </row>
    <row r="156" spans="11:25">
      <c r="K156">
        <v>109</v>
      </c>
      <c r="L156">
        <f t="shared" ca="1" si="15"/>
        <v>0</v>
      </c>
      <c r="M156">
        <f t="shared" ca="1" si="17"/>
        <v>0.99999999999999989</v>
      </c>
      <c r="W156">
        <v>109</v>
      </c>
      <c r="X156">
        <f t="shared" ca="1" si="16"/>
        <v>0</v>
      </c>
      <c r="Y156">
        <f t="shared" ca="1" si="18"/>
        <v>0.99999999999999989</v>
      </c>
    </row>
    <row r="157" spans="11:25">
      <c r="K157">
        <v>110</v>
      </c>
      <c r="L157">
        <f t="shared" ca="1" si="15"/>
        <v>0</v>
      </c>
      <c r="M157">
        <f t="shared" ca="1" si="17"/>
        <v>0.99999999999999989</v>
      </c>
      <c r="W157">
        <v>110</v>
      </c>
      <c r="X157">
        <f t="shared" ca="1" si="16"/>
        <v>0</v>
      </c>
      <c r="Y157">
        <f t="shared" ca="1" si="18"/>
        <v>0.99999999999999989</v>
      </c>
    </row>
    <row r="158" spans="11:25">
      <c r="K158">
        <v>111</v>
      </c>
      <c r="L158">
        <f t="shared" ca="1" si="15"/>
        <v>0</v>
      </c>
      <c r="M158">
        <f t="shared" ca="1" si="17"/>
        <v>0.99999999999999989</v>
      </c>
      <c r="W158">
        <v>111</v>
      </c>
      <c r="X158">
        <f t="shared" ca="1" si="16"/>
        <v>0</v>
      </c>
      <c r="Y158">
        <f t="shared" ca="1" si="18"/>
        <v>0.99999999999999989</v>
      </c>
    </row>
    <row r="159" spans="11:25">
      <c r="K159">
        <v>112</v>
      </c>
      <c r="L159">
        <f t="shared" ca="1" si="15"/>
        <v>0</v>
      </c>
      <c r="M159">
        <f t="shared" ca="1" si="17"/>
        <v>0.99999999999999989</v>
      </c>
      <c r="W159">
        <v>112</v>
      </c>
      <c r="X159">
        <f t="shared" ca="1" si="16"/>
        <v>0</v>
      </c>
      <c r="Y159">
        <f t="shared" ca="1" si="18"/>
        <v>0.99999999999999989</v>
      </c>
    </row>
    <row r="160" spans="11:25">
      <c r="K160">
        <v>113</v>
      </c>
      <c r="L160">
        <f t="shared" ca="1" si="15"/>
        <v>0</v>
      </c>
      <c r="M160">
        <f t="shared" ca="1" si="17"/>
        <v>0.99999999999999989</v>
      </c>
      <c r="W160">
        <v>113</v>
      </c>
      <c r="X160">
        <f t="shared" ca="1" si="16"/>
        <v>0</v>
      </c>
      <c r="Y160">
        <f t="shared" ca="1" si="18"/>
        <v>0.99999999999999989</v>
      </c>
    </row>
    <row r="161" spans="11:25">
      <c r="K161">
        <v>114</v>
      </c>
      <c r="L161">
        <f t="shared" ca="1" si="15"/>
        <v>0</v>
      </c>
      <c r="M161">
        <f t="shared" ca="1" si="17"/>
        <v>0.99999999999999989</v>
      </c>
      <c r="W161">
        <v>114</v>
      </c>
      <c r="X161">
        <f t="shared" ca="1" si="16"/>
        <v>0</v>
      </c>
      <c r="Y161">
        <f t="shared" ca="1" si="18"/>
        <v>0.99999999999999989</v>
      </c>
    </row>
    <row r="162" spans="11:25">
      <c r="K162">
        <v>115</v>
      </c>
      <c r="L162">
        <f t="shared" ca="1" si="15"/>
        <v>0</v>
      </c>
      <c r="M162">
        <f t="shared" ca="1" si="17"/>
        <v>0.99999999999999989</v>
      </c>
      <c r="W162">
        <v>115</v>
      </c>
      <c r="X162">
        <f t="shared" ca="1" si="16"/>
        <v>0</v>
      </c>
      <c r="Y162">
        <f t="shared" ca="1" si="18"/>
        <v>0.99999999999999989</v>
      </c>
    </row>
    <row r="163" spans="11:25">
      <c r="K163">
        <v>116</v>
      </c>
      <c r="L163">
        <f t="shared" ca="1" si="15"/>
        <v>0</v>
      </c>
      <c r="M163">
        <f t="shared" ca="1" si="17"/>
        <v>0.99999999999999989</v>
      </c>
      <c r="W163">
        <v>116</v>
      </c>
      <c r="X163">
        <f t="shared" ca="1" si="16"/>
        <v>0</v>
      </c>
      <c r="Y163">
        <f t="shared" ca="1" si="18"/>
        <v>0.99999999999999989</v>
      </c>
    </row>
    <row r="164" spans="11:25">
      <c r="K164">
        <v>117</v>
      </c>
      <c r="L164">
        <f t="shared" ca="1" si="15"/>
        <v>0</v>
      </c>
      <c r="M164">
        <f t="shared" ca="1" si="17"/>
        <v>0.99999999999999989</v>
      </c>
      <c r="W164">
        <v>117</v>
      </c>
      <c r="X164">
        <f t="shared" ca="1" si="16"/>
        <v>0</v>
      </c>
      <c r="Y164">
        <f t="shared" ca="1" si="18"/>
        <v>0.99999999999999989</v>
      </c>
    </row>
    <row r="165" spans="11:25">
      <c r="K165">
        <v>118</v>
      </c>
      <c r="L165">
        <f t="shared" ca="1" si="15"/>
        <v>0</v>
      </c>
      <c r="M165">
        <f t="shared" ca="1" si="17"/>
        <v>0.99999999999999989</v>
      </c>
      <c r="W165">
        <v>118</v>
      </c>
      <c r="X165">
        <f t="shared" ca="1" si="16"/>
        <v>0</v>
      </c>
      <c r="Y165">
        <f t="shared" ca="1" si="18"/>
        <v>0.99999999999999989</v>
      </c>
    </row>
    <row r="166" spans="11:25">
      <c r="K166">
        <v>119</v>
      </c>
      <c r="L166">
        <f t="shared" ca="1" si="15"/>
        <v>0</v>
      </c>
      <c r="M166">
        <f t="shared" ca="1" si="17"/>
        <v>0.99999999999999989</v>
      </c>
      <c r="W166">
        <v>119</v>
      </c>
      <c r="X166">
        <f t="shared" ca="1" si="16"/>
        <v>0</v>
      </c>
      <c r="Y166">
        <f t="shared" ca="1" si="18"/>
        <v>0.99999999999999989</v>
      </c>
    </row>
    <row r="167" spans="11:25">
      <c r="K167">
        <v>120</v>
      </c>
      <c r="L167">
        <f t="shared" ca="1" si="15"/>
        <v>0</v>
      </c>
      <c r="M167">
        <f t="shared" ca="1" si="17"/>
        <v>0.99999999999999989</v>
      </c>
      <c r="W167">
        <v>120</v>
      </c>
      <c r="X167">
        <f t="shared" ca="1" si="16"/>
        <v>0</v>
      </c>
      <c r="Y167">
        <f t="shared" ca="1" si="18"/>
        <v>0.99999999999999989</v>
      </c>
    </row>
    <row r="168" spans="11:25">
      <c r="K168">
        <v>121</v>
      </c>
      <c r="L168">
        <f t="shared" ca="1" si="15"/>
        <v>0</v>
      </c>
      <c r="M168">
        <f t="shared" ca="1" si="17"/>
        <v>0.99999999999999989</v>
      </c>
      <c r="W168">
        <v>121</v>
      </c>
      <c r="X168">
        <f t="shared" ca="1" si="16"/>
        <v>0</v>
      </c>
      <c r="Y168">
        <f t="shared" ca="1" si="18"/>
        <v>0.99999999999999989</v>
      </c>
    </row>
    <row r="169" spans="11:25">
      <c r="K169">
        <v>122</v>
      </c>
      <c r="L169">
        <f t="shared" ca="1" si="15"/>
        <v>0</v>
      </c>
      <c r="M169">
        <f t="shared" ca="1" si="17"/>
        <v>0.99999999999999989</v>
      </c>
      <c r="W169">
        <v>122</v>
      </c>
      <c r="X169">
        <f t="shared" ca="1" si="16"/>
        <v>0</v>
      </c>
      <c r="Y169">
        <f t="shared" ca="1" si="18"/>
        <v>0.99999999999999989</v>
      </c>
    </row>
    <row r="170" spans="11:25">
      <c r="K170">
        <v>123</v>
      </c>
      <c r="L170">
        <f t="shared" ca="1" si="15"/>
        <v>0</v>
      </c>
      <c r="M170">
        <f t="shared" ca="1" si="17"/>
        <v>0.99999999999999989</v>
      </c>
      <c r="W170">
        <v>123</v>
      </c>
      <c r="X170">
        <f t="shared" ca="1" si="16"/>
        <v>0</v>
      </c>
      <c r="Y170">
        <f t="shared" ca="1" si="18"/>
        <v>0.99999999999999989</v>
      </c>
    </row>
    <row r="171" spans="11:25">
      <c r="K171">
        <v>124</v>
      </c>
      <c r="L171">
        <f t="shared" ca="1" si="15"/>
        <v>0</v>
      </c>
      <c r="M171">
        <f t="shared" ca="1" si="17"/>
        <v>0.99999999999999989</v>
      </c>
      <c r="W171">
        <v>124</v>
      </c>
      <c r="X171">
        <f t="shared" ca="1" si="16"/>
        <v>0</v>
      </c>
      <c r="Y171">
        <f t="shared" ca="1" si="18"/>
        <v>0.99999999999999989</v>
      </c>
    </row>
    <row r="172" spans="11:25">
      <c r="K172">
        <v>125</v>
      </c>
      <c r="L172">
        <f t="shared" ca="1" si="15"/>
        <v>0</v>
      </c>
      <c r="M172">
        <f t="shared" ca="1" si="17"/>
        <v>0.99999999999999989</v>
      </c>
      <c r="W172">
        <v>125</v>
      </c>
      <c r="X172">
        <f t="shared" ca="1" si="16"/>
        <v>0</v>
      </c>
      <c r="Y172">
        <f t="shared" ca="1" si="18"/>
        <v>0.99999999999999989</v>
      </c>
    </row>
    <row r="173" spans="11:25">
      <c r="K173">
        <v>126</v>
      </c>
      <c r="L173">
        <f t="shared" ca="1" si="15"/>
        <v>0</v>
      </c>
      <c r="M173">
        <f t="shared" ca="1" si="17"/>
        <v>0.99999999999999989</v>
      </c>
      <c r="W173">
        <v>126</v>
      </c>
      <c r="X173">
        <f t="shared" ca="1" si="16"/>
        <v>0</v>
      </c>
      <c r="Y173">
        <f t="shared" ca="1" si="18"/>
        <v>0.99999999999999989</v>
      </c>
    </row>
    <row r="174" spans="11:25">
      <c r="K174">
        <v>127</v>
      </c>
      <c r="L174">
        <f t="shared" ca="1" si="15"/>
        <v>0</v>
      </c>
      <c r="M174">
        <f t="shared" ca="1" si="17"/>
        <v>0.99999999999999989</v>
      </c>
      <c r="W174">
        <v>127</v>
      </c>
      <c r="X174">
        <f t="shared" ca="1" si="16"/>
        <v>0</v>
      </c>
      <c r="Y174">
        <f t="shared" ca="1" si="18"/>
        <v>0.99999999999999989</v>
      </c>
    </row>
    <row r="175" spans="11:25">
      <c r="K175">
        <v>128</v>
      </c>
      <c r="L175">
        <f t="shared" ref="L175:L238" ca="1" si="19">IF(K175&lt;=$T$19,BINOMDIST(K175,$T$19,$N$43,FALSE),0)</f>
        <v>0</v>
      </c>
      <c r="M175">
        <f t="shared" ca="1" si="17"/>
        <v>0.99999999999999989</v>
      </c>
      <c r="W175">
        <v>128</v>
      </c>
      <c r="X175">
        <f t="shared" ref="X175:X238" ca="1" si="20">IF(W175&lt;=$T$19,BINOMDIST(W175,$T$19,$N$43,FALSE),0)</f>
        <v>0</v>
      </c>
      <c r="Y175">
        <f t="shared" ca="1" si="18"/>
        <v>0.99999999999999989</v>
      </c>
    </row>
    <row r="176" spans="11:25">
      <c r="K176">
        <v>129</v>
      </c>
      <c r="L176">
        <f t="shared" ca="1" si="19"/>
        <v>0</v>
      </c>
      <c r="M176">
        <f t="shared" ca="1" si="17"/>
        <v>0.99999999999999989</v>
      </c>
      <c r="W176">
        <v>129</v>
      </c>
      <c r="X176">
        <f t="shared" ca="1" si="20"/>
        <v>0</v>
      </c>
      <c r="Y176">
        <f t="shared" ca="1" si="18"/>
        <v>0.99999999999999989</v>
      </c>
    </row>
    <row r="177" spans="11:25">
      <c r="K177">
        <v>130</v>
      </c>
      <c r="L177">
        <f t="shared" ca="1" si="19"/>
        <v>0</v>
      </c>
      <c r="M177">
        <f t="shared" ref="M177:M240" ca="1" si="21">L177+M176</f>
        <v>0.99999999999999989</v>
      </c>
      <c r="W177">
        <v>130</v>
      </c>
      <c r="X177">
        <f t="shared" ca="1" si="20"/>
        <v>0</v>
      </c>
      <c r="Y177">
        <f t="shared" ref="Y177:Y240" ca="1" si="22">X177+Y176</f>
        <v>0.99999999999999989</v>
      </c>
    </row>
    <row r="178" spans="11:25">
      <c r="K178">
        <v>131</v>
      </c>
      <c r="L178">
        <f t="shared" ca="1" si="19"/>
        <v>0</v>
      </c>
      <c r="M178">
        <f t="shared" ca="1" si="21"/>
        <v>0.99999999999999989</v>
      </c>
      <c r="W178">
        <v>131</v>
      </c>
      <c r="X178">
        <f t="shared" ca="1" si="20"/>
        <v>0</v>
      </c>
      <c r="Y178">
        <f t="shared" ca="1" si="22"/>
        <v>0.99999999999999989</v>
      </c>
    </row>
    <row r="179" spans="11:25">
      <c r="K179">
        <v>132</v>
      </c>
      <c r="L179">
        <f t="shared" ca="1" si="19"/>
        <v>0</v>
      </c>
      <c r="M179">
        <f t="shared" ca="1" si="21"/>
        <v>0.99999999999999989</v>
      </c>
      <c r="W179">
        <v>132</v>
      </c>
      <c r="X179">
        <f t="shared" ca="1" si="20"/>
        <v>0</v>
      </c>
      <c r="Y179">
        <f t="shared" ca="1" si="22"/>
        <v>0.99999999999999989</v>
      </c>
    </row>
    <row r="180" spans="11:25">
      <c r="K180">
        <v>133</v>
      </c>
      <c r="L180">
        <f t="shared" ca="1" si="19"/>
        <v>0</v>
      </c>
      <c r="M180">
        <f t="shared" ca="1" si="21"/>
        <v>0.99999999999999989</v>
      </c>
      <c r="W180">
        <v>133</v>
      </c>
      <c r="X180">
        <f t="shared" ca="1" si="20"/>
        <v>0</v>
      </c>
      <c r="Y180">
        <f t="shared" ca="1" si="22"/>
        <v>0.99999999999999989</v>
      </c>
    </row>
    <row r="181" spans="11:25">
      <c r="K181">
        <v>134</v>
      </c>
      <c r="L181">
        <f t="shared" ca="1" si="19"/>
        <v>0</v>
      </c>
      <c r="M181">
        <f t="shared" ca="1" si="21"/>
        <v>0.99999999999999989</v>
      </c>
      <c r="W181">
        <v>134</v>
      </c>
      <c r="X181">
        <f t="shared" ca="1" si="20"/>
        <v>0</v>
      </c>
      <c r="Y181">
        <f t="shared" ca="1" si="22"/>
        <v>0.99999999999999989</v>
      </c>
    </row>
    <row r="182" spans="11:25">
      <c r="K182">
        <v>135</v>
      </c>
      <c r="L182">
        <f t="shared" ca="1" si="19"/>
        <v>0</v>
      </c>
      <c r="M182">
        <f t="shared" ca="1" si="21"/>
        <v>0.99999999999999989</v>
      </c>
      <c r="W182">
        <v>135</v>
      </c>
      <c r="X182">
        <f t="shared" ca="1" si="20"/>
        <v>0</v>
      </c>
      <c r="Y182">
        <f t="shared" ca="1" si="22"/>
        <v>0.99999999999999989</v>
      </c>
    </row>
    <row r="183" spans="11:25">
      <c r="K183">
        <v>136</v>
      </c>
      <c r="L183">
        <f t="shared" ca="1" si="19"/>
        <v>0</v>
      </c>
      <c r="M183">
        <f t="shared" ca="1" si="21"/>
        <v>0.99999999999999989</v>
      </c>
      <c r="W183">
        <v>136</v>
      </c>
      <c r="X183">
        <f t="shared" ca="1" si="20"/>
        <v>0</v>
      </c>
      <c r="Y183">
        <f t="shared" ca="1" si="22"/>
        <v>0.99999999999999989</v>
      </c>
    </row>
    <row r="184" spans="11:25">
      <c r="K184">
        <v>137</v>
      </c>
      <c r="L184">
        <f t="shared" ca="1" si="19"/>
        <v>0</v>
      </c>
      <c r="M184">
        <f t="shared" ca="1" si="21"/>
        <v>0.99999999999999989</v>
      </c>
      <c r="W184">
        <v>137</v>
      </c>
      <c r="X184">
        <f t="shared" ca="1" si="20"/>
        <v>0</v>
      </c>
      <c r="Y184">
        <f t="shared" ca="1" si="22"/>
        <v>0.99999999999999989</v>
      </c>
    </row>
    <row r="185" spans="11:25">
      <c r="K185">
        <v>138</v>
      </c>
      <c r="L185">
        <f t="shared" ca="1" si="19"/>
        <v>0</v>
      </c>
      <c r="M185">
        <f t="shared" ca="1" si="21"/>
        <v>0.99999999999999989</v>
      </c>
      <c r="W185">
        <v>138</v>
      </c>
      <c r="X185">
        <f t="shared" ca="1" si="20"/>
        <v>0</v>
      </c>
      <c r="Y185">
        <f t="shared" ca="1" si="22"/>
        <v>0.99999999999999989</v>
      </c>
    </row>
    <row r="186" spans="11:25">
      <c r="K186">
        <v>139</v>
      </c>
      <c r="L186">
        <f t="shared" ca="1" si="19"/>
        <v>0</v>
      </c>
      <c r="M186">
        <f t="shared" ca="1" si="21"/>
        <v>0.99999999999999989</v>
      </c>
      <c r="W186">
        <v>139</v>
      </c>
      <c r="X186">
        <f t="shared" ca="1" si="20"/>
        <v>0</v>
      </c>
      <c r="Y186">
        <f t="shared" ca="1" si="22"/>
        <v>0.99999999999999989</v>
      </c>
    </row>
    <row r="187" spans="11:25">
      <c r="K187">
        <v>140</v>
      </c>
      <c r="L187">
        <f t="shared" ca="1" si="19"/>
        <v>0</v>
      </c>
      <c r="M187">
        <f t="shared" ca="1" si="21"/>
        <v>0.99999999999999989</v>
      </c>
      <c r="W187">
        <v>140</v>
      </c>
      <c r="X187">
        <f t="shared" ca="1" si="20"/>
        <v>0</v>
      </c>
      <c r="Y187">
        <f t="shared" ca="1" si="22"/>
        <v>0.99999999999999989</v>
      </c>
    </row>
    <row r="188" spans="11:25">
      <c r="K188">
        <v>141</v>
      </c>
      <c r="L188">
        <f t="shared" ca="1" si="19"/>
        <v>0</v>
      </c>
      <c r="M188">
        <f t="shared" ca="1" si="21"/>
        <v>0.99999999999999989</v>
      </c>
      <c r="W188">
        <v>141</v>
      </c>
      <c r="X188">
        <f t="shared" ca="1" si="20"/>
        <v>0</v>
      </c>
      <c r="Y188">
        <f t="shared" ca="1" si="22"/>
        <v>0.99999999999999989</v>
      </c>
    </row>
    <row r="189" spans="11:25">
      <c r="K189">
        <v>142</v>
      </c>
      <c r="L189">
        <f t="shared" ca="1" si="19"/>
        <v>0</v>
      </c>
      <c r="M189">
        <f t="shared" ca="1" si="21"/>
        <v>0.99999999999999989</v>
      </c>
      <c r="W189">
        <v>142</v>
      </c>
      <c r="X189">
        <f t="shared" ca="1" si="20"/>
        <v>0</v>
      </c>
      <c r="Y189">
        <f t="shared" ca="1" si="22"/>
        <v>0.99999999999999989</v>
      </c>
    </row>
    <row r="190" spans="11:25">
      <c r="K190">
        <v>143</v>
      </c>
      <c r="L190">
        <f t="shared" ca="1" si="19"/>
        <v>0</v>
      </c>
      <c r="M190">
        <f t="shared" ca="1" si="21"/>
        <v>0.99999999999999989</v>
      </c>
      <c r="W190">
        <v>143</v>
      </c>
      <c r="X190">
        <f t="shared" ca="1" si="20"/>
        <v>0</v>
      </c>
      <c r="Y190">
        <f t="shared" ca="1" si="22"/>
        <v>0.99999999999999989</v>
      </c>
    </row>
    <row r="191" spans="11:25">
      <c r="K191">
        <v>144</v>
      </c>
      <c r="L191">
        <f t="shared" ca="1" si="19"/>
        <v>0</v>
      </c>
      <c r="M191">
        <f t="shared" ca="1" si="21"/>
        <v>0.99999999999999989</v>
      </c>
      <c r="W191">
        <v>144</v>
      </c>
      <c r="X191">
        <f t="shared" ca="1" si="20"/>
        <v>0</v>
      </c>
      <c r="Y191">
        <f t="shared" ca="1" si="22"/>
        <v>0.99999999999999989</v>
      </c>
    </row>
    <row r="192" spans="11:25">
      <c r="K192">
        <v>145</v>
      </c>
      <c r="L192">
        <f t="shared" ca="1" si="19"/>
        <v>0</v>
      </c>
      <c r="M192">
        <f t="shared" ca="1" si="21"/>
        <v>0.99999999999999989</v>
      </c>
      <c r="W192">
        <v>145</v>
      </c>
      <c r="X192">
        <f t="shared" ca="1" si="20"/>
        <v>0</v>
      </c>
      <c r="Y192">
        <f t="shared" ca="1" si="22"/>
        <v>0.99999999999999989</v>
      </c>
    </row>
    <row r="193" spans="11:25">
      <c r="K193">
        <v>146</v>
      </c>
      <c r="L193">
        <f t="shared" ca="1" si="19"/>
        <v>0</v>
      </c>
      <c r="M193">
        <f t="shared" ca="1" si="21"/>
        <v>0.99999999999999989</v>
      </c>
      <c r="W193">
        <v>146</v>
      </c>
      <c r="X193">
        <f t="shared" ca="1" si="20"/>
        <v>0</v>
      </c>
      <c r="Y193">
        <f t="shared" ca="1" si="22"/>
        <v>0.99999999999999989</v>
      </c>
    </row>
    <row r="194" spans="11:25">
      <c r="K194">
        <v>147</v>
      </c>
      <c r="L194">
        <f t="shared" ca="1" si="19"/>
        <v>0</v>
      </c>
      <c r="M194">
        <f t="shared" ca="1" si="21"/>
        <v>0.99999999999999989</v>
      </c>
      <c r="W194">
        <v>147</v>
      </c>
      <c r="X194">
        <f t="shared" ca="1" si="20"/>
        <v>0</v>
      </c>
      <c r="Y194">
        <f t="shared" ca="1" si="22"/>
        <v>0.99999999999999989</v>
      </c>
    </row>
    <row r="195" spans="11:25">
      <c r="K195">
        <v>148</v>
      </c>
      <c r="L195">
        <f t="shared" ca="1" si="19"/>
        <v>0</v>
      </c>
      <c r="M195">
        <f t="shared" ca="1" si="21"/>
        <v>0.99999999999999989</v>
      </c>
      <c r="W195">
        <v>148</v>
      </c>
      <c r="X195">
        <f t="shared" ca="1" si="20"/>
        <v>0</v>
      </c>
      <c r="Y195">
        <f t="shared" ca="1" si="22"/>
        <v>0.99999999999999989</v>
      </c>
    </row>
    <row r="196" spans="11:25">
      <c r="K196">
        <v>149</v>
      </c>
      <c r="L196">
        <f t="shared" ca="1" si="19"/>
        <v>0</v>
      </c>
      <c r="M196">
        <f t="shared" ca="1" si="21"/>
        <v>0.99999999999999989</v>
      </c>
      <c r="W196">
        <v>149</v>
      </c>
      <c r="X196">
        <f t="shared" ca="1" si="20"/>
        <v>0</v>
      </c>
      <c r="Y196">
        <f t="shared" ca="1" si="22"/>
        <v>0.99999999999999989</v>
      </c>
    </row>
    <row r="197" spans="11:25">
      <c r="K197">
        <v>150</v>
      </c>
      <c r="L197">
        <f t="shared" ca="1" si="19"/>
        <v>0</v>
      </c>
      <c r="M197">
        <f t="shared" ca="1" si="21"/>
        <v>0.99999999999999989</v>
      </c>
      <c r="W197">
        <v>150</v>
      </c>
      <c r="X197">
        <f t="shared" ca="1" si="20"/>
        <v>0</v>
      </c>
      <c r="Y197">
        <f t="shared" ca="1" si="22"/>
        <v>0.99999999999999989</v>
      </c>
    </row>
    <row r="198" spans="11:25">
      <c r="K198">
        <v>151</v>
      </c>
      <c r="L198">
        <f t="shared" ca="1" si="19"/>
        <v>0</v>
      </c>
      <c r="M198">
        <f t="shared" ca="1" si="21"/>
        <v>0.99999999999999989</v>
      </c>
      <c r="W198">
        <v>151</v>
      </c>
      <c r="X198">
        <f t="shared" ca="1" si="20"/>
        <v>0</v>
      </c>
      <c r="Y198">
        <f t="shared" ca="1" si="22"/>
        <v>0.99999999999999989</v>
      </c>
    </row>
    <row r="199" spans="11:25">
      <c r="K199">
        <v>152</v>
      </c>
      <c r="L199">
        <f t="shared" ca="1" si="19"/>
        <v>0</v>
      </c>
      <c r="M199">
        <f t="shared" ca="1" si="21"/>
        <v>0.99999999999999989</v>
      </c>
      <c r="W199">
        <v>152</v>
      </c>
      <c r="X199">
        <f t="shared" ca="1" si="20"/>
        <v>0</v>
      </c>
      <c r="Y199">
        <f t="shared" ca="1" si="22"/>
        <v>0.99999999999999989</v>
      </c>
    </row>
    <row r="200" spans="11:25">
      <c r="K200">
        <v>153</v>
      </c>
      <c r="L200">
        <f t="shared" ca="1" si="19"/>
        <v>0</v>
      </c>
      <c r="M200">
        <f t="shared" ca="1" si="21"/>
        <v>0.99999999999999989</v>
      </c>
      <c r="W200">
        <v>153</v>
      </c>
      <c r="X200">
        <f t="shared" ca="1" si="20"/>
        <v>0</v>
      </c>
      <c r="Y200">
        <f t="shared" ca="1" si="22"/>
        <v>0.99999999999999989</v>
      </c>
    </row>
    <row r="201" spans="11:25">
      <c r="K201">
        <v>154</v>
      </c>
      <c r="L201">
        <f t="shared" ca="1" si="19"/>
        <v>0</v>
      </c>
      <c r="M201">
        <f t="shared" ca="1" si="21"/>
        <v>0.99999999999999989</v>
      </c>
      <c r="W201">
        <v>154</v>
      </c>
      <c r="X201">
        <f t="shared" ca="1" si="20"/>
        <v>0</v>
      </c>
      <c r="Y201">
        <f t="shared" ca="1" si="22"/>
        <v>0.99999999999999989</v>
      </c>
    </row>
    <row r="202" spans="11:25">
      <c r="K202">
        <v>155</v>
      </c>
      <c r="L202">
        <f t="shared" ca="1" si="19"/>
        <v>0</v>
      </c>
      <c r="M202">
        <f t="shared" ca="1" si="21"/>
        <v>0.99999999999999989</v>
      </c>
      <c r="W202">
        <v>155</v>
      </c>
      <c r="X202">
        <f t="shared" ca="1" si="20"/>
        <v>0</v>
      </c>
      <c r="Y202">
        <f t="shared" ca="1" si="22"/>
        <v>0.99999999999999989</v>
      </c>
    </row>
    <row r="203" spans="11:25">
      <c r="K203">
        <v>156</v>
      </c>
      <c r="L203">
        <f t="shared" ca="1" si="19"/>
        <v>0</v>
      </c>
      <c r="M203">
        <f t="shared" ca="1" si="21"/>
        <v>0.99999999999999989</v>
      </c>
      <c r="W203">
        <v>156</v>
      </c>
      <c r="X203">
        <f t="shared" ca="1" si="20"/>
        <v>0</v>
      </c>
      <c r="Y203">
        <f t="shared" ca="1" si="22"/>
        <v>0.99999999999999989</v>
      </c>
    </row>
    <row r="204" spans="11:25">
      <c r="K204">
        <v>157</v>
      </c>
      <c r="L204">
        <f t="shared" ca="1" si="19"/>
        <v>0</v>
      </c>
      <c r="M204">
        <f t="shared" ca="1" si="21"/>
        <v>0.99999999999999989</v>
      </c>
      <c r="W204">
        <v>157</v>
      </c>
      <c r="X204">
        <f t="shared" ca="1" si="20"/>
        <v>0</v>
      </c>
      <c r="Y204">
        <f t="shared" ca="1" si="22"/>
        <v>0.99999999999999989</v>
      </c>
    </row>
    <row r="205" spans="11:25">
      <c r="K205">
        <v>158</v>
      </c>
      <c r="L205">
        <f t="shared" ca="1" si="19"/>
        <v>0</v>
      </c>
      <c r="M205">
        <f t="shared" ca="1" si="21"/>
        <v>0.99999999999999989</v>
      </c>
      <c r="W205">
        <v>158</v>
      </c>
      <c r="X205">
        <f t="shared" ca="1" si="20"/>
        <v>0</v>
      </c>
      <c r="Y205">
        <f t="shared" ca="1" si="22"/>
        <v>0.99999999999999989</v>
      </c>
    </row>
    <row r="206" spans="11:25">
      <c r="K206">
        <v>159</v>
      </c>
      <c r="L206">
        <f t="shared" ca="1" si="19"/>
        <v>0</v>
      </c>
      <c r="M206">
        <f t="shared" ca="1" si="21"/>
        <v>0.99999999999999989</v>
      </c>
      <c r="W206">
        <v>159</v>
      </c>
      <c r="X206">
        <f t="shared" ca="1" si="20"/>
        <v>0</v>
      </c>
      <c r="Y206">
        <f t="shared" ca="1" si="22"/>
        <v>0.99999999999999989</v>
      </c>
    </row>
    <row r="207" spans="11:25">
      <c r="K207">
        <v>160</v>
      </c>
      <c r="L207">
        <f t="shared" ca="1" si="19"/>
        <v>0</v>
      </c>
      <c r="M207">
        <f t="shared" ca="1" si="21"/>
        <v>0.99999999999999989</v>
      </c>
      <c r="W207">
        <v>160</v>
      </c>
      <c r="X207">
        <f t="shared" ca="1" si="20"/>
        <v>0</v>
      </c>
      <c r="Y207">
        <f t="shared" ca="1" si="22"/>
        <v>0.99999999999999989</v>
      </c>
    </row>
    <row r="208" spans="11:25">
      <c r="K208">
        <v>161</v>
      </c>
      <c r="L208">
        <f t="shared" ca="1" si="19"/>
        <v>0</v>
      </c>
      <c r="M208">
        <f t="shared" ca="1" si="21"/>
        <v>0.99999999999999989</v>
      </c>
      <c r="W208">
        <v>161</v>
      </c>
      <c r="X208">
        <f t="shared" ca="1" si="20"/>
        <v>0</v>
      </c>
      <c r="Y208">
        <f t="shared" ca="1" si="22"/>
        <v>0.99999999999999989</v>
      </c>
    </row>
    <row r="209" spans="11:25">
      <c r="K209">
        <v>162</v>
      </c>
      <c r="L209">
        <f t="shared" ca="1" si="19"/>
        <v>0</v>
      </c>
      <c r="M209">
        <f t="shared" ca="1" si="21"/>
        <v>0.99999999999999989</v>
      </c>
      <c r="W209">
        <v>162</v>
      </c>
      <c r="X209">
        <f t="shared" ca="1" si="20"/>
        <v>0</v>
      </c>
      <c r="Y209">
        <f t="shared" ca="1" si="22"/>
        <v>0.99999999999999989</v>
      </c>
    </row>
    <row r="210" spans="11:25">
      <c r="K210">
        <v>163</v>
      </c>
      <c r="L210">
        <f t="shared" ca="1" si="19"/>
        <v>0</v>
      </c>
      <c r="M210">
        <f t="shared" ca="1" si="21"/>
        <v>0.99999999999999989</v>
      </c>
      <c r="W210">
        <v>163</v>
      </c>
      <c r="X210">
        <f t="shared" ca="1" si="20"/>
        <v>0</v>
      </c>
      <c r="Y210">
        <f t="shared" ca="1" si="22"/>
        <v>0.99999999999999989</v>
      </c>
    </row>
    <row r="211" spans="11:25">
      <c r="K211">
        <v>164</v>
      </c>
      <c r="L211">
        <f t="shared" ca="1" si="19"/>
        <v>0</v>
      </c>
      <c r="M211">
        <f t="shared" ca="1" si="21"/>
        <v>0.99999999999999989</v>
      </c>
      <c r="W211">
        <v>164</v>
      </c>
      <c r="X211">
        <f t="shared" ca="1" si="20"/>
        <v>0</v>
      </c>
      <c r="Y211">
        <f t="shared" ca="1" si="22"/>
        <v>0.99999999999999989</v>
      </c>
    </row>
    <row r="212" spans="11:25">
      <c r="K212">
        <v>165</v>
      </c>
      <c r="L212">
        <f t="shared" ca="1" si="19"/>
        <v>0</v>
      </c>
      <c r="M212">
        <f t="shared" ca="1" si="21"/>
        <v>0.99999999999999989</v>
      </c>
      <c r="W212">
        <v>165</v>
      </c>
      <c r="X212">
        <f t="shared" ca="1" si="20"/>
        <v>0</v>
      </c>
      <c r="Y212">
        <f t="shared" ca="1" si="22"/>
        <v>0.99999999999999989</v>
      </c>
    </row>
    <row r="213" spans="11:25">
      <c r="K213">
        <v>166</v>
      </c>
      <c r="L213">
        <f t="shared" ca="1" si="19"/>
        <v>0</v>
      </c>
      <c r="M213">
        <f t="shared" ca="1" si="21"/>
        <v>0.99999999999999989</v>
      </c>
      <c r="W213">
        <v>166</v>
      </c>
      <c r="X213">
        <f t="shared" ca="1" si="20"/>
        <v>0</v>
      </c>
      <c r="Y213">
        <f t="shared" ca="1" si="22"/>
        <v>0.99999999999999989</v>
      </c>
    </row>
    <row r="214" spans="11:25">
      <c r="K214">
        <v>167</v>
      </c>
      <c r="L214">
        <f t="shared" ca="1" si="19"/>
        <v>0</v>
      </c>
      <c r="M214">
        <f t="shared" ca="1" si="21"/>
        <v>0.99999999999999989</v>
      </c>
      <c r="W214">
        <v>167</v>
      </c>
      <c r="X214">
        <f t="shared" ca="1" si="20"/>
        <v>0</v>
      </c>
      <c r="Y214">
        <f t="shared" ca="1" si="22"/>
        <v>0.99999999999999989</v>
      </c>
    </row>
    <row r="215" spans="11:25">
      <c r="K215">
        <v>168</v>
      </c>
      <c r="L215">
        <f t="shared" ca="1" si="19"/>
        <v>0</v>
      </c>
      <c r="M215">
        <f t="shared" ca="1" si="21"/>
        <v>0.99999999999999989</v>
      </c>
      <c r="W215">
        <v>168</v>
      </c>
      <c r="X215">
        <f t="shared" ca="1" si="20"/>
        <v>0</v>
      </c>
      <c r="Y215">
        <f t="shared" ca="1" si="22"/>
        <v>0.99999999999999989</v>
      </c>
    </row>
    <row r="216" spans="11:25">
      <c r="K216">
        <v>169</v>
      </c>
      <c r="L216">
        <f t="shared" ca="1" si="19"/>
        <v>0</v>
      </c>
      <c r="M216">
        <f t="shared" ca="1" si="21"/>
        <v>0.99999999999999989</v>
      </c>
      <c r="W216">
        <v>169</v>
      </c>
      <c r="X216">
        <f t="shared" ca="1" si="20"/>
        <v>0</v>
      </c>
      <c r="Y216">
        <f t="shared" ca="1" si="22"/>
        <v>0.99999999999999989</v>
      </c>
    </row>
    <row r="217" spans="11:25">
      <c r="K217">
        <v>170</v>
      </c>
      <c r="L217">
        <f t="shared" ca="1" si="19"/>
        <v>0</v>
      </c>
      <c r="M217">
        <f t="shared" ca="1" si="21"/>
        <v>0.99999999999999989</v>
      </c>
      <c r="W217">
        <v>170</v>
      </c>
      <c r="X217">
        <f t="shared" ca="1" si="20"/>
        <v>0</v>
      </c>
      <c r="Y217">
        <f t="shared" ca="1" si="22"/>
        <v>0.99999999999999989</v>
      </c>
    </row>
    <row r="218" spans="11:25">
      <c r="K218">
        <v>171</v>
      </c>
      <c r="L218">
        <f t="shared" ca="1" si="19"/>
        <v>0</v>
      </c>
      <c r="M218">
        <f t="shared" ca="1" si="21"/>
        <v>0.99999999999999989</v>
      </c>
      <c r="W218">
        <v>171</v>
      </c>
      <c r="X218">
        <f t="shared" ca="1" si="20"/>
        <v>0</v>
      </c>
      <c r="Y218">
        <f t="shared" ca="1" si="22"/>
        <v>0.99999999999999989</v>
      </c>
    </row>
    <row r="219" spans="11:25">
      <c r="K219">
        <v>172</v>
      </c>
      <c r="L219">
        <f t="shared" ca="1" si="19"/>
        <v>0</v>
      </c>
      <c r="M219">
        <f t="shared" ca="1" si="21"/>
        <v>0.99999999999999989</v>
      </c>
      <c r="W219">
        <v>172</v>
      </c>
      <c r="X219">
        <f t="shared" ca="1" si="20"/>
        <v>0</v>
      </c>
      <c r="Y219">
        <f t="shared" ca="1" si="22"/>
        <v>0.99999999999999989</v>
      </c>
    </row>
    <row r="220" spans="11:25">
      <c r="K220">
        <v>173</v>
      </c>
      <c r="L220">
        <f t="shared" ca="1" si="19"/>
        <v>0</v>
      </c>
      <c r="M220">
        <f t="shared" ca="1" si="21"/>
        <v>0.99999999999999989</v>
      </c>
      <c r="W220">
        <v>173</v>
      </c>
      <c r="X220">
        <f t="shared" ca="1" si="20"/>
        <v>0</v>
      </c>
      <c r="Y220">
        <f t="shared" ca="1" si="22"/>
        <v>0.99999999999999989</v>
      </c>
    </row>
    <row r="221" spans="11:25">
      <c r="K221">
        <v>174</v>
      </c>
      <c r="L221">
        <f t="shared" ca="1" si="19"/>
        <v>0</v>
      </c>
      <c r="M221">
        <f t="shared" ca="1" si="21"/>
        <v>0.99999999999999989</v>
      </c>
      <c r="W221">
        <v>174</v>
      </c>
      <c r="X221">
        <f t="shared" ca="1" si="20"/>
        <v>0</v>
      </c>
      <c r="Y221">
        <f t="shared" ca="1" si="22"/>
        <v>0.99999999999999989</v>
      </c>
    </row>
    <row r="222" spans="11:25">
      <c r="K222">
        <v>175</v>
      </c>
      <c r="L222">
        <f t="shared" ca="1" si="19"/>
        <v>0</v>
      </c>
      <c r="M222">
        <f t="shared" ca="1" si="21"/>
        <v>0.99999999999999989</v>
      </c>
      <c r="W222">
        <v>175</v>
      </c>
      <c r="X222">
        <f t="shared" ca="1" si="20"/>
        <v>0</v>
      </c>
      <c r="Y222">
        <f t="shared" ca="1" si="22"/>
        <v>0.99999999999999989</v>
      </c>
    </row>
    <row r="223" spans="11:25">
      <c r="K223">
        <v>176</v>
      </c>
      <c r="L223">
        <f t="shared" ca="1" si="19"/>
        <v>0</v>
      </c>
      <c r="M223">
        <f t="shared" ca="1" si="21"/>
        <v>0.99999999999999989</v>
      </c>
      <c r="W223">
        <v>176</v>
      </c>
      <c r="X223">
        <f t="shared" ca="1" si="20"/>
        <v>0</v>
      </c>
      <c r="Y223">
        <f t="shared" ca="1" si="22"/>
        <v>0.99999999999999989</v>
      </c>
    </row>
    <row r="224" spans="11:25">
      <c r="K224">
        <v>177</v>
      </c>
      <c r="L224">
        <f t="shared" ca="1" si="19"/>
        <v>0</v>
      </c>
      <c r="M224">
        <f t="shared" ca="1" si="21"/>
        <v>0.99999999999999989</v>
      </c>
      <c r="W224">
        <v>177</v>
      </c>
      <c r="X224">
        <f t="shared" ca="1" si="20"/>
        <v>0</v>
      </c>
      <c r="Y224">
        <f t="shared" ca="1" si="22"/>
        <v>0.99999999999999989</v>
      </c>
    </row>
    <row r="225" spans="11:25">
      <c r="K225">
        <v>178</v>
      </c>
      <c r="L225">
        <f t="shared" ca="1" si="19"/>
        <v>0</v>
      </c>
      <c r="M225">
        <f t="shared" ca="1" si="21"/>
        <v>0.99999999999999989</v>
      </c>
      <c r="W225">
        <v>178</v>
      </c>
      <c r="X225">
        <f t="shared" ca="1" si="20"/>
        <v>0</v>
      </c>
      <c r="Y225">
        <f t="shared" ca="1" si="22"/>
        <v>0.99999999999999989</v>
      </c>
    </row>
    <row r="226" spans="11:25">
      <c r="K226">
        <v>179</v>
      </c>
      <c r="L226">
        <f t="shared" ca="1" si="19"/>
        <v>0</v>
      </c>
      <c r="M226">
        <f t="shared" ca="1" si="21"/>
        <v>0.99999999999999989</v>
      </c>
      <c r="W226">
        <v>179</v>
      </c>
      <c r="X226">
        <f t="shared" ca="1" si="20"/>
        <v>0</v>
      </c>
      <c r="Y226">
        <f t="shared" ca="1" si="22"/>
        <v>0.99999999999999989</v>
      </c>
    </row>
    <row r="227" spans="11:25">
      <c r="K227">
        <v>180</v>
      </c>
      <c r="L227">
        <f t="shared" ca="1" si="19"/>
        <v>0</v>
      </c>
      <c r="M227">
        <f t="shared" ca="1" si="21"/>
        <v>0.99999999999999989</v>
      </c>
      <c r="W227">
        <v>180</v>
      </c>
      <c r="X227">
        <f t="shared" ca="1" si="20"/>
        <v>0</v>
      </c>
      <c r="Y227">
        <f t="shared" ca="1" si="22"/>
        <v>0.99999999999999989</v>
      </c>
    </row>
    <row r="228" spans="11:25">
      <c r="K228">
        <v>181</v>
      </c>
      <c r="L228">
        <f t="shared" ca="1" si="19"/>
        <v>0</v>
      </c>
      <c r="M228">
        <f t="shared" ca="1" si="21"/>
        <v>0.99999999999999989</v>
      </c>
      <c r="W228">
        <v>181</v>
      </c>
      <c r="X228">
        <f t="shared" ca="1" si="20"/>
        <v>0</v>
      </c>
      <c r="Y228">
        <f t="shared" ca="1" si="22"/>
        <v>0.99999999999999989</v>
      </c>
    </row>
    <row r="229" spans="11:25">
      <c r="K229">
        <v>182</v>
      </c>
      <c r="L229">
        <f t="shared" ca="1" si="19"/>
        <v>0</v>
      </c>
      <c r="M229">
        <f t="shared" ca="1" si="21"/>
        <v>0.99999999999999989</v>
      </c>
      <c r="W229">
        <v>182</v>
      </c>
      <c r="X229">
        <f t="shared" ca="1" si="20"/>
        <v>0</v>
      </c>
      <c r="Y229">
        <f t="shared" ca="1" si="22"/>
        <v>0.99999999999999989</v>
      </c>
    </row>
    <row r="230" spans="11:25">
      <c r="K230">
        <v>183</v>
      </c>
      <c r="L230">
        <f t="shared" ca="1" si="19"/>
        <v>0</v>
      </c>
      <c r="M230">
        <f t="shared" ca="1" si="21"/>
        <v>0.99999999999999989</v>
      </c>
      <c r="W230">
        <v>183</v>
      </c>
      <c r="X230">
        <f t="shared" ca="1" si="20"/>
        <v>0</v>
      </c>
      <c r="Y230">
        <f t="shared" ca="1" si="22"/>
        <v>0.99999999999999989</v>
      </c>
    </row>
    <row r="231" spans="11:25">
      <c r="K231">
        <v>184</v>
      </c>
      <c r="L231">
        <f t="shared" ca="1" si="19"/>
        <v>0</v>
      </c>
      <c r="M231">
        <f t="shared" ca="1" si="21"/>
        <v>0.99999999999999989</v>
      </c>
      <c r="W231">
        <v>184</v>
      </c>
      <c r="X231">
        <f t="shared" ca="1" si="20"/>
        <v>0</v>
      </c>
      <c r="Y231">
        <f t="shared" ca="1" si="22"/>
        <v>0.99999999999999989</v>
      </c>
    </row>
    <row r="232" spans="11:25">
      <c r="K232">
        <v>185</v>
      </c>
      <c r="L232">
        <f t="shared" ca="1" si="19"/>
        <v>0</v>
      </c>
      <c r="M232">
        <f t="shared" ca="1" si="21"/>
        <v>0.99999999999999989</v>
      </c>
      <c r="W232">
        <v>185</v>
      </c>
      <c r="X232">
        <f t="shared" ca="1" si="20"/>
        <v>0</v>
      </c>
      <c r="Y232">
        <f t="shared" ca="1" si="22"/>
        <v>0.99999999999999989</v>
      </c>
    </row>
    <row r="233" spans="11:25">
      <c r="K233">
        <v>186</v>
      </c>
      <c r="L233">
        <f t="shared" ca="1" si="19"/>
        <v>0</v>
      </c>
      <c r="M233">
        <f t="shared" ca="1" si="21"/>
        <v>0.99999999999999989</v>
      </c>
      <c r="W233">
        <v>186</v>
      </c>
      <c r="X233">
        <f t="shared" ca="1" si="20"/>
        <v>0</v>
      </c>
      <c r="Y233">
        <f t="shared" ca="1" si="22"/>
        <v>0.99999999999999989</v>
      </c>
    </row>
    <row r="234" spans="11:25">
      <c r="K234">
        <v>187</v>
      </c>
      <c r="L234">
        <f t="shared" ca="1" si="19"/>
        <v>0</v>
      </c>
      <c r="M234">
        <f t="shared" ca="1" si="21"/>
        <v>0.99999999999999989</v>
      </c>
      <c r="W234">
        <v>187</v>
      </c>
      <c r="X234">
        <f t="shared" ca="1" si="20"/>
        <v>0</v>
      </c>
      <c r="Y234">
        <f t="shared" ca="1" si="22"/>
        <v>0.99999999999999989</v>
      </c>
    </row>
    <row r="235" spans="11:25">
      <c r="K235">
        <v>188</v>
      </c>
      <c r="L235">
        <f t="shared" ca="1" si="19"/>
        <v>0</v>
      </c>
      <c r="M235">
        <f t="shared" ca="1" si="21"/>
        <v>0.99999999999999989</v>
      </c>
      <c r="W235">
        <v>188</v>
      </c>
      <c r="X235">
        <f t="shared" ca="1" si="20"/>
        <v>0</v>
      </c>
      <c r="Y235">
        <f t="shared" ca="1" si="22"/>
        <v>0.99999999999999989</v>
      </c>
    </row>
    <row r="236" spans="11:25">
      <c r="K236">
        <v>189</v>
      </c>
      <c r="L236">
        <f t="shared" ca="1" si="19"/>
        <v>0</v>
      </c>
      <c r="M236">
        <f t="shared" ca="1" si="21"/>
        <v>0.99999999999999989</v>
      </c>
      <c r="W236">
        <v>189</v>
      </c>
      <c r="X236">
        <f t="shared" ca="1" si="20"/>
        <v>0</v>
      </c>
      <c r="Y236">
        <f t="shared" ca="1" si="22"/>
        <v>0.99999999999999989</v>
      </c>
    </row>
    <row r="237" spans="11:25">
      <c r="K237">
        <v>190</v>
      </c>
      <c r="L237">
        <f t="shared" ca="1" si="19"/>
        <v>0</v>
      </c>
      <c r="M237">
        <f t="shared" ca="1" si="21"/>
        <v>0.99999999999999989</v>
      </c>
      <c r="W237">
        <v>190</v>
      </c>
      <c r="X237">
        <f t="shared" ca="1" si="20"/>
        <v>0</v>
      </c>
      <c r="Y237">
        <f t="shared" ca="1" si="22"/>
        <v>0.99999999999999989</v>
      </c>
    </row>
    <row r="238" spans="11:25">
      <c r="K238">
        <v>191</v>
      </c>
      <c r="L238">
        <f t="shared" ca="1" si="19"/>
        <v>0</v>
      </c>
      <c r="M238">
        <f t="shared" ca="1" si="21"/>
        <v>0.99999999999999989</v>
      </c>
      <c r="W238">
        <v>191</v>
      </c>
      <c r="X238">
        <f t="shared" ca="1" si="20"/>
        <v>0</v>
      </c>
      <c r="Y238">
        <f t="shared" ca="1" si="22"/>
        <v>0.99999999999999989</v>
      </c>
    </row>
    <row r="239" spans="11:25">
      <c r="K239">
        <v>192</v>
      </c>
      <c r="L239">
        <f t="shared" ref="L239:L302" ca="1" si="23">IF(K239&lt;=$T$19,BINOMDIST(K239,$T$19,$N$43,FALSE),0)</f>
        <v>0</v>
      </c>
      <c r="M239">
        <f t="shared" ca="1" si="21"/>
        <v>0.99999999999999989</v>
      </c>
      <c r="W239">
        <v>192</v>
      </c>
      <c r="X239">
        <f t="shared" ref="X239:X302" ca="1" si="24">IF(W239&lt;=$T$19,BINOMDIST(W239,$T$19,$N$43,FALSE),0)</f>
        <v>0</v>
      </c>
      <c r="Y239">
        <f t="shared" ca="1" si="22"/>
        <v>0.99999999999999989</v>
      </c>
    </row>
    <row r="240" spans="11:25">
      <c r="K240">
        <v>193</v>
      </c>
      <c r="L240">
        <f t="shared" ca="1" si="23"/>
        <v>0</v>
      </c>
      <c r="M240">
        <f t="shared" ca="1" si="21"/>
        <v>0.99999999999999989</v>
      </c>
      <c r="W240">
        <v>193</v>
      </c>
      <c r="X240">
        <f t="shared" ca="1" si="24"/>
        <v>0</v>
      </c>
      <c r="Y240">
        <f t="shared" ca="1" si="22"/>
        <v>0.99999999999999989</v>
      </c>
    </row>
    <row r="241" spans="11:25">
      <c r="K241">
        <v>194</v>
      </c>
      <c r="L241">
        <f t="shared" ca="1" si="23"/>
        <v>0</v>
      </c>
      <c r="M241">
        <f t="shared" ref="M241:M304" ca="1" si="25">L241+M240</f>
        <v>0.99999999999999989</v>
      </c>
      <c r="W241">
        <v>194</v>
      </c>
      <c r="X241">
        <f t="shared" ca="1" si="24"/>
        <v>0</v>
      </c>
      <c r="Y241">
        <f t="shared" ref="Y241:Y304" ca="1" si="26">X241+Y240</f>
        <v>0.99999999999999989</v>
      </c>
    </row>
    <row r="242" spans="11:25">
      <c r="K242">
        <v>195</v>
      </c>
      <c r="L242">
        <f t="shared" ca="1" si="23"/>
        <v>0</v>
      </c>
      <c r="M242">
        <f t="shared" ca="1" si="25"/>
        <v>0.99999999999999989</v>
      </c>
      <c r="W242">
        <v>195</v>
      </c>
      <c r="X242">
        <f t="shared" ca="1" si="24"/>
        <v>0</v>
      </c>
      <c r="Y242">
        <f t="shared" ca="1" si="26"/>
        <v>0.99999999999999989</v>
      </c>
    </row>
    <row r="243" spans="11:25">
      <c r="K243">
        <v>196</v>
      </c>
      <c r="L243">
        <f t="shared" ca="1" si="23"/>
        <v>0</v>
      </c>
      <c r="M243">
        <f t="shared" ca="1" si="25"/>
        <v>0.99999999999999989</v>
      </c>
      <c r="W243">
        <v>196</v>
      </c>
      <c r="X243">
        <f t="shared" ca="1" si="24"/>
        <v>0</v>
      </c>
      <c r="Y243">
        <f t="shared" ca="1" si="26"/>
        <v>0.99999999999999989</v>
      </c>
    </row>
    <row r="244" spans="11:25">
      <c r="K244">
        <v>197</v>
      </c>
      <c r="L244">
        <f t="shared" ca="1" si="23"/>
        <v>0</v>
      </c>
      <c r="M244">
        <f t="shared" ca="1" si="25"/>
        <v>0.99999999999999989</v>
      </c>
      <c r="W244">
        <v>197</v>
      </c>
      <c r="X244">
        <f t="shared" ca="1" si="24"/>
        <v>0</v>
      </c>
      <c r="Y244">
        <f t="shared" ca="1" si="26"/>
        <v>0.99999999999999989</v>
      </c>
    </row>
    <row r="245" spans="11:25">
      <c r="K245">
        <v>198</v>
      </c>
      <c r="L245">
        <f t="shared" ca="1" si="23"/>
        <v>0</v>
      </c>
      <c r="M245">
        <f t="shared" ca="1" si="25"/>
        <v>0.99999999999999989</v>
      </c>
      <c r="W245">
        <v>198</v>
      </c>
      <c r="X245">
        <f t="shared" ca="1" si="24"/>
        <v>0</v>
      </c>
      <c r="Y245">
        <f t="shared" ca="1" si="26"/>
        <v>0.99999999999999989</v>
      </c>
    </row>
    <row r="246" spans="11:25">
      <c r="K246">
        <v>199</v>
      </c>
      <c r="L246">
        <f t="shared" ca="1" si="23"/>
        <v>0</v>
      </c>
      <c r="M246">
        <f t="shared" ca="1" si="25"/>
        <v>0.99999999999999989</v>
      </c>
      <c r="W246">
        <v>199</v>
      </c>
      <c r="X246">
        <f t="shared" ca="1" si="24"/>
        <v>0</v>
      </c>
      <c r="Y246">
        <f t="shared" ca="1" si="26"/>
        <v>0.99999999999999989</v>
      </c>
    </row>
    <row r="247" spans="11:25">
      <c r="K247">
        <v>200</v>
      </c>
      <c r="L247">
        <f t="shared" ca="1" si="23"/>
        <v>0</v>
      </c>
      <c r="M247">
        <f t="shared" ca="1" si="25"/>
        <v>0.99999999999999989</v>
      </c>
      <c r="W247">
        <v>200</v>
      </c>
      <c r="X247">
        <f t="shared" ca="1" si="24"/>
        <v>0</v>
      </c>
      <c r="Y247">
        <f t="shared" ca="1" si="26"/>
        <v>0.99999999999999989</v>
      </c>
    </row>
    <row r="248" spans="11:25">
      <c r="K248">
        <v>201</v>
      </c>
      <c r="L248">
        <f t="shared" ca="1" si="23"/>
        <v>0</v>
      </c>
      <c r="M248">
        <f t="shared" ca="1" si="25"/>
        <v>0.99999999999999989</v>
      </c>
      <c r="W248">
        <v>201</v>
      </c>
      <c r="X248">
        <f t="shared" ca="1" si="24"/>
        <v>0</v>
      </c>
      <c r="Y248">
        <f t="shared" ca="1" si="26"/>
        <v>0.99999999999999989</v>
      </c>
    </row>
    <row r="249" spans="11:25">
      <c r="K249">
        <v>202</v>
      </c>
      <c r="L249">
        <f t="shared" ca="1" si="23"/>
        <v>0</v>
      </c>
      <c r="M249">
        <f t="shared" ca="1" si="25"/>
        <v>0.99999999999999989</v>
      </c>
      <c r="W249">
        <v>202</v>
      </c>
      <c r="X249">
        <f t="shared" ca="1" si="24"/>
        <v>0</v>
      </c>
      <c r="Y249">
        <f t="shared" ca="1" si="26"/>
        <v>0.99999999999999989</v>
      </c>
    </row>
    <row r="250" spans="11:25">
      <c r="K250">
        <v>203</v>
      </c>
      <c r="L250">
        <f t="shared" ca="1" si="23"/>
        <v>0</v>
      </c>
      <c r="M250">
        <f t="shared" ca="1" si="25"/>
        <v>0.99999999999999989</v>
      </c>
      <c r="W250">
        <v>203</v>
      </c>
      <c r="X250">
        <f t="shared" ca="1" si="24"/>
        <v>0</v>
      </c>
      <c r="Y250">
        <f t="shared" ca="1" si="26"/>
        <v>0.99999999999999989</v>
      </c>
    </row>
    <row r="251" spans="11:25">
      <c r="K251">
        <v>204</v>
      </c>
      <c r="L251">
        <f t="shared" ca="1" si="23"/>
        <v>0</v>
      </c>
      <c r="M251">
        <f t="shared" ca="1" si="25"/>
        <v>0.99999999999999989</v>
      </c>
      <c r="W251">
        <v>204</v>
      </c>
      <c r="X251">
        <f t="shared" ca="1" si="24"/>
        <v>0</v>
      </c>
      <c r="Y251">
        <f t="shared" ca="1" si="26"/>
        <v>0.99999999999999989</v>
      </c>
    </row>
    <row r="252" spans="11:25">
      <c r="K252">
        <v>205</v>
      </c>
      <c r="L252">
        <f t="shared" ca="1" si="23"/>
        <v>0</v>
      </c>
      <c r="M252">
        <f t="shared" ca="1" si="25"/>
        <v>0.99999999999999989</v>
      </c>
      <c r="W252">
        <v>205</v>
      </c>
      <c r="X252">
        <f t="shared" ca="1" si="24"/>
        <v>0</v>
      </c>
      <c r="Y252">
        <f t="shared" ca="1" si="26"/>
        <v>0.99999999999999989</v>
      </c>
    </row>
    <row r="253" spans="11:25">
      <c r="K253">
        <v>206</v>
      </c>
      <c r="L253">
        <f t="shared" ca="1" si="23"/>
        <v>0</v>
      </c>
      <c r="M253">
        <f t="shared" ca="1" si="25"/>
        <v>0.99999999999999989</v>
      </c>
      <c r="W253">
        <v>206</v>
      </c>
      <c r="X253">
        <f t="shared" ca="1" si="24"/>
        <v>0</v>
      </c>
      <c r="Y253">
        <f t="shared" ca="1" si="26"/>
        <v>0.99999999999999989</v>
      </c>
    </row>
    <row r="254" spans="11:25">
      <c r="K254">
        <v>207</v>
      </c>
      <c r="L254">
        <f t="shared" ca="1" si="23"/>
        <v>0</v>
      </c>
      <c r="M254">
        <f t="shared" ca="1" si="25"/>
        <v>0.99999999999999989</v>
      </c>
      <c r="W254">
        <v>207</v>
      </c>
      <c r="X254">
        <f t="shared" ca="1" si="24"/>
        <v>0</v>
      </c>
      <c r="Y254">
        <f t="shared" ca="1" si="26"/>
        <v>0.99999999999999989</v>
      </c>
    </row>
    <row r="255" spans="11:25">
      <c r="K255">
        <v>208</v>
      </c>
      <c r="L255">
        <f t="shared" ca="1" si="23"/>
        <v>0</v>
      </c>
      <c r="M255">
        <f t="shared" ca="1" si="25"/>
        <v>0.99999999999999989</v>
      </c>
      <c r="W255">
        <v>208</v>
      </c>
      <c r="X255">
        <f t="shared" ca="1" si="24"/>
        <v>0</v>
      </c>
      <c r="Y255">
        <f t="shared" ca="1" si="26"/>
        <v>0.99999999999999989</v>
      </c>
    </row>
    <row r="256" spans="11:25">
      <c r="K256">
        <v>209</v>
      </c>
      <c r="L256">
        <f t="shared" ca="1" si="23"/>
        <v>0</v>
      </c>
      <c r="M256">
        <f t="shared" ca="1" si="25"/>
        <v>0.99999999999999989</v>
      </c>
      <c r="W256">
        <v>209</v>
      </c>
      <c r="X256">
        <f t="shared" ca="1" si="24"/>
        <v>0</v>
      </c>
      <c r="Y256">
        <f t="shared" ca="1" si="26"/>
        <v>0.99999999999999989</v>
      </c>
    </row>
    <row r="257" spans="11:25">
      <c r="K257">
        <v>210</v>
      </c>
      <c r="L257">
        <f t="shared" ca="1" si="23"/>
        <v>0</v>
      </c>
      <c r="M257">
        <f t="shared" ca="1" si="25"/>
        <v>0.99999999999999989</v>
      </c>
      <c r="W257">
        <v>210</v>
      </c>
      <c r="X257">
        <f t="shared" ca="1" si="24"/>
        <v>0</v>
      </c>
      <c r="Y257">
        <f t="shared" ca="1" si="26"/>
        <v>0.99999999999999989</v>
      </c>
    </row>
    <row r="258" spans="11:25">
      <c r="K258">
        <v>211</v>
      </c>
      <c r="L258">
        <f t="shared" ca="1" si="23"/>
        <v>0</v>
      </c>
      <c r="M258">
        <f t="shared" ca="1" si="25"/>
        <v>0.99999999999999989</v>
      </c>
      <c r="W258">
        <v>211</v>
      </c>
      <c r="X258">
        <f t="shared" ca="1" si="24"/>
        <v>0</v>
      </c>
      <c r="Y258">
        <f t="shared" ca="1" si="26"/>
        <v>0.99999999999999989</v>
      </c>
    </row>
    <row r="259" spans="11:25">
      <c r="K259">
        <v>212</v>
      </c>
      <c r="L259">
        <f t="shared" ca="1" si="23"/>
        <v>0</v>
      </c>
      <c r="M259">
        <f t="shared" ca="1" si="25"/>
        <v>0.99999999999999989</v>
      </c>
      <c r="W259">
        <v>212</v>
      </c>
      <c r="X259">
        <f t="shared" ca="1" si="24"/>
        <v>0</v>
      </c>
      <c r="Y259">
        <f t="shared" ca="1" si="26"/>
        <v>0.99999999999999989</v>
      </c>
    </row>
    <row r="260" spans="11:25">
      <c r="K260">
        <v>213</v>
      </c>
      <c r="L260">
        <f t="shared" ca="1" si="23"/>
        <v>0</v>
      </c>
      <c r="M260">
        <f t="shared" ca="1" si="25"/>
        <v>0.99999999999999989</v>
      </c>
      <c r="W260">
        <v>213</v>
      </c>
      <c r="X260">
        <f t="shared" ca="1" si="24"/>
        <v>0</v>
      </c>
      <c r="Y260">
        <f t="shared" ca="1" si="26"/>
        <v>0.99999999999999989</v>
      </c>
    </row>
    <row r="261" spans="11:25">
      <c r="K261">
        <v>214</v>
      </c>
      <c r="L261">
        <f t="shared" ca="1" si="23"/>
        <v>0</v>
      </c>
      <c r="M261">
        <f t="shared" ca="1" si="25"/>
        <v>0.99999999999999989</v>
      </c>
      <c r="W261">
        <v>214</v>
      </c>
      <c r="X261">
        <f t="shared" ca="1" si="24"/>
        <v>0</v>
      </c>
      <c r="Y261">
        <f t="shared" ca="1" si="26"/>
        <v>0.99999999999999989</v>
      </c>
    </row>
    <row r="262" spans="11:25">
      <c r="K262">
        <v>215</v>
      </c>
      <c r="L262">
        <f t="shared" ca="1" si="23"/>
        <v>0</v>
      </c>
      <c r="M262">
        <f t="shared" ca="1" si="25"/>
        <v>0.99999999999999989</v>
      </c>
      <c r="W262">
        <v>215</v>
      </c>
      <c r="X262">
        <f t="shared" ca="1" si="24"/>
        <v>0</v>
      </c>
      <c r="Y262">
        <f t="shared" ca="1" si="26"/>
        <v>0.99999999999999989</v>
      </c>
    </row>
    <row r="263" spans="11:25">
      <c r="K263">
        <v>216</v>
      </c>
      <c r="L263">
        <f t="shared" ca="1" si="23"/>
        <v>0</v>
      </c>
      <c r="M263">
        <f t="shared" ca="1" si="25"/>
        <v>0.99999999999999989</v>
      </c>
      <c r="W263">
        <v>216</v>
      </c>
      <c r="X263">
        <f t="shared" ca="1" si="24"/>
        <v>0</v>
      </c>
      <c r="Y263">
        <f t="shared" ca="1" si="26"/>
        <v>0.99999999999999989</v>
      </c>
    </row>
    <row r="264" spans="11:25">
      <c r="K264">
        <v>217</v>
      </c>
      <c r="L264">
        <f t="shared" ca="1" si="23"/>
        <v>0</v>
      </c>
      <c r="M264">
        <f t="shared" ca="1" si="25"/>
        <v>0.99999999999999989</v>
      </c>
      <c r="W264">
        <v>217</v>
      </c>
      <c r="X264">
        <f t="shared" ca="1" si="24"/>
        <v>0</v>
      </c>
      <c r="Y264">
        <f t="shared" ca="1" si="26"/>
        <v>0.99999999999999989</v>
      </c>
    </row>
    <row r="265" spans="11:25">
      <c r="K265">
        <v>218</v>
      </c>
      <c r="L265">
        <f t="shared" ca="1" si="23"/>
        <v>0</v>
      </c>
      <c r="M265">
        <f t="shared" ca="1" si="25"/>
        <v>0.99999999999999989</v>
      </c>
      <c r="W265">
        <v>218</v>
      </c>
      <c r="X265">
        <f t="shared" ca="1" si="24"/>
        <v>0</v>
      </c>
      <c r="Y265">
        <f t="shared" ca="1" si="26"/>
        <v>0.99999999999999989</v>
      </c>
    </row>
    <row r="266" spans="11:25">
      <c r="K266">
        <v>219</v>
      </c>
      <c r="L266">
        <f t="shared" ca="1" si="23"/>
        <v>0</v>
      </c>
      <c r="M266">
        <f t="shared" ca="1" si="25"/>
        <v>0.99999999999999989</v>
      </c>
      <c r="W266">
        <v>219</v>
      </c>
      <c r="X266">
        <f t="shared" ca="1" si="24"/>
        <v>0</v>
      </c>
      <c r="Y266">
        <f t="shared" ca="1" si="26"/>
        <v>0.99999999999999989</v>
      </c>
    </row>
    <row r="267" spans="11:25">
      <c r="K267">
        <v>220</v>
      </c>
      <c r="L267">
        <f t="shared" ca="1" si="23"/>
        <v>0</v>
      </c>
      <c r="M267">
        <f t="shared" ca="1" si="25"/>
        <v>0.99999999999999989</v>
      </c>
      <c r="W267">
        <v>220</v>
      </c>
      <c r="X267">
        <f t="shared" ca="1" si="24"/>
        <v>0</v>
      </c>
      <c r="Y267">
        <f t="shared" ca="1" si="26"/>
        <v>0.99999999999999989</v>
      </c>
    </row>
    <row r="268" spans="11:25">
      <c r="K268">
        <v>221</v>
      </c>
      <c r="L268">
        <f t="shared" ca="1" si="23"/>
        <v>0</v>
      </c>
      <c r="M268">
        <f t="shared" ca="1" si="25"/>
        <v>0.99999999999999989</v>
      </c>
      <c r="W268">
        <v>221</v>
      </c>
      <c r="X268">
        <f t="shared" ca="1" si="24"/>
        <v>0</v>
      </c>
      <c r="Y268">
        <f t="shared" ca="1" si="26"/>
        <v>0.99999999999999989</v>
      </c>
    </row>
    <row r="269" spans="11:25">
      <c r="K269">
        <v>222</v>
      </c>
      <c r="L269">
        <f t="shared" ca="1" si="23"/>
        <v>0</v>
      </c>
      <c r="M269">
        <f t="shared" ca="1" si="25"/>
        <v>0.99999999999999989</v>
      </c>
      <c r="W269">
        <v>222</v>
      </c>
      <c r="X269">
        <f t="shared" ca="1" si="24"/>
        <v>0</v>
      </c>
      <c r="Y269">
        <f t="shared" ca="1" si="26"/>
        <v>0.99999999999999989</v>
      </c>
    </row>
    <row r="270" spans="11:25">
      <c r="K270">
        <v>223</v>
      </c>
      <c r="L270">
        <f t="shared" ca="1" si="23"/>
        <v>0</v>
      </c>
      <c r="M270">
        <f t="shared" ca="1" si="25"/>
        <v>0.99999999999999989</v>
      </c>
      <c r="W270">
        <v>223</v>
      </c>
      <c r="X270">
        <f t="shared" ca="1" si="24"/>
        <v>0</v>
      </c>
      <c r="Y270">
        <f t="shared" ca="1" si="26"/>
        <v>0.99999999999999989</v>
      </c>
    </row>
    <row r="271" spans="11:25">
      <c r="K271">
        <v>224</v>
      </c>
      <c r="L271">
        <f t="shared" ca="1" si="23"/>
        <v>0</v>
      </c>
      <c r="M271">
        <f t="shared" ca="1" si="25"/>
        <v>0.99999999999999989</v>
      </c>
      <c r="W271">
        <v>224</v>
      </c>
      <c r="X271">
        <f t="shared" ca="1" si="24"/>
        <v>0</v>
      </c>
      <c r="Y271">
        <f t="shared" ca="1" si="26"/>
        <v>0.99999999999999989</v>
      </c>
    </row>
    <row r="272" spans="11:25">
      <c r="K272">
        <v>225</v>
      </c>
      <c r="L272">
        <f t="shared" ca="1" si="23"/>
        <v>0</v>
      </c>
      <c r="M272">
        <f t="shared" ca="1" si="25"/>
        <v>0.99999999999999989</v>
      </c>
      <c r="W272">
        <v>225</v>
      </c>
      <c r="X272">
        <f t="shared" ca="1" si="24"/>
        <v>0</v>
      </c>
      <c r="Y272">
        <f t="shared" ca="1" si="26"/>
        <v>0.99999999999999989</v>
      </c>
    </row>
    <row r="273" spans="11:25">
      <c r="K273">
        <v>226</v>
      </c>
      <c r="L273">
        <f t="shared" ca="1" si="23"/>
        <v>0</v>
      </c>
      <c r="M273">
        <f t="shared" ca="1" si="25"/>
        <v>0.99999999999999989</v>
      </c>
      <c r="W273">
        <v>226</v>
      </c>
      <c r="X273">
        <f t="shared" ca="1" si="24"/>
        <v>0</v>
      </c>
      <c r="Y273">
        <f t="shared" ca="1" si="26"/>
        <v>0.99999999999999989</v>
      </c>
    </row>
    <row r="274" spans="11:25">
      <c r="K274">
        <v>227</v>
      </c>
      <c r="L274">
        <f t="shared" ca="1" si="23"/>
        <v>0</v>
      </c>
      <c r="M274">
        <f t="shared" ca="1" si="25"/>
        <v>0.99999999999999989</v>
      </c>
      <c r="W274">
        <v>227</v>
      </c>
      <c r="X274">
        <f t="shared" ca="1" si="24"/>
        <v>0</v>
      </c>
      <c r="Y274">
        <f t="shared" ca="1" si="26"/>
        <v>0.99999999999999989</v>
      </c>
    </row>
    <row r="275" spans="11:25">
      <c r="K275">
        <v>228</v>
      </c>
      <c r="L275">
        <f t="shared" ca="1" si="23"/>
        <v>0</v>
      </c>
      <c r="M275">
        <f t="shared" ca="1" si="25"/>
        <v>0.99999999999999989</v>
      </c>
      <c r="W275">
        <v>228</v>
      </c>
      <c r="X275">
        <f t="shared" ca="1" si="24"/>
        <v>0</v>
      </c>
      <c r="Y275">
        <f t="shared" ca="1" si="26"/>
        <v>0.99999999999999989</v>
      </c>
    </row>
    <row r="276" spans="11:25">
      <c r="K276">
        <v>229</v>
      </c>
      <c r="L276">
        <f t="shared" ca="1" si="23"/>
        <v>0</v>
      </c>
      <c r="M276">
        <f t="shared" ca="1" si="25"/>
        <v>0.99999999999999989</v>
      </c>
      <c r="W276">
        <v>229</v>
      </c>
      <c r="X276">
        <f t="shared" ca="1" si="24"/>
        <v>0</v>
      </c>
      <c r="Y276">
        <f t="shared" ca="1" si="26"/>
        <v>0.99999999999999989</v>
      </c>
    </row>
    <row r="277" spans="11:25">
      <c r="K277">
        <v>230</v>
      </c>
      <c r="L277">
        <f t="shared" ca="1" si="23"/>
        <v>0</v>
      </c>
      <c r="M277">
        <f t="shared" ca="1" si="25"/>
        <v>0.99999999999999989</v>
      </c>
      <c r="W277">
        <v>230</v>
      </c>
      <c r="X277">
        <f t="shared" ca="1" si="24"/>
        <v>0</v>
      </c>
      <c r="Y277">
        <f t="shared" ca="1" si="26"/>
        <v>0.99999999999999989</v>
      </c>
    </row>
    <row r="278" spans="11:25">
      <c r="K278">
        <v>231</v>
      </c>
      <c r="L278">
        <f t="shared" ca="1" si="23"/>
        <v>0</v>
      </c>
      <c r="M278">
        <f t="shared" ca="1" si="25"/>
        <v>0.99999999999999989</v>
      </c>
      <c r="W278">
        <v>231</v>
      </c>
      <c r="X278">
        <f t="shared" ca="1" si="24"/>
        <v>0</v>
      </c>
      <c r="Y278">
        <f t="shared" ca="1" si="26"/>
        <v>0.99999999999999989</v>
      </c>
    </row>
    <row r="279" spans="11:25">
      <c r="K279">
        <v>232</v>
      </c>
      <c r="L279">
        <f t="shared" ca="1" si="23"/>
        <v>0</v>
      </c>
      <c r="M279">
        <f t="shared" ca="1" si="25"/>
        <v>0.99999999999999989</v>
      </c>
      <c r="W279">
        <v>232</v>
      </c>
      <c r="X279">
        <f t="shared" ca="1" si="24"/>
        <v>0</v>
      </c>
      <c r="Y279">
        <f t="shared" ca="1" si="26"/>
        <v>0.99999999999999989</v>
      </c>
    </row>
    <row r="280" spans="11:25">
      <c r="K280">
        <v>233</v>
      </c>
      <c r="L280">
        <f t="shared" ca="1" si="23"/>
        <v>0</v>
      </c>
      <c r="M280">
        <f t="shared" ca="1" si="25"/>
        <v>0.99999999999999989</v>
      </c>
      <c r="W280">
        <v>233</v>
      </c>
      <c r="X280">
        <f t="shared" ca="1" si="24"/>
        <v>0</v>
      </c>
      <c r="Y280">
        <f t="shared" ca="1" si="26"/>
        <v>0.99999999999999989</v>
      </c>
    </row>
    <row r="281" spans="11:25">
      <c r="K281">
        <v>234</v>
      </c>
      <c r="L281">
        <f t="shared" ca="1" si="23"/>
        <v>0</v>
      </c>
      <c r="M281">
        <f t="shared" ca="1" si="25"/>
        <v>0.99999999999999989</v>
      </c>
      <c r="W281">
        <v>234</v>
      </c>
      <c r="X281">
        <f t="shared" ca="1" si="24"/>
        <v>0</v>
      </c>
      <c r="Y281">
        <f t="shared" ca="1" si="26"/>
        <v>0.99999999999999989</v>
      </c>
    </row>
    <row r="282" spans="11:25">
      <c r="K282">
        <v>235</v>
      </c>
      <c r="L282">
        <f t="shared" ca="1" si="23"/>
        <v>0</v>
      </c>
      <c r="M282">
        <f t="shared" ca="1" si="25"/>
        <v>0.99999999999999989</v>
      </c>
      <c r="W282">
        <v>235</v>
      </c>
      <c r="X282">
        <f t="shared" ca="1" si="24"/>
        <v>0</v>
      </c>
      <c r="Y282">
        <f t="shared" ca="1" si="26"/>
        <v>0.99999999999999989</v>
      </c>
    </row>
    <row r="283" spans="11:25">
      <c r="K283">
        <v>236</v>
      </c>
      <c r="L283">
        <f t="shared" ca="1" si="23"/>
        <v>0</v>
      </c>
      <c r="M283">
        <f t="shared" ca="1" si="25"/>
        <v>0.99999999999999989</v>
      </c>
      <c r="W283">
        <v>236</v>
      </c>
      <c r="X283">
        <f t="shared" ca="1" si="24"/>
        <v>0</v>
      </c>
      <c r="Y283">
        <f t="shared" ca="1" si="26"/>
        <v>0.99999999999999989</v>
      </c>
    </row>
    <row r="284" spans="11:25">
      <c r="K284">
        <v>237</v>
      </c>
      <c r="L284">
        <f t="shared" ca="1" si="23"/>
        <v>0</v>
      </c>
      <c r="M284">
        <f t="shared" ca="1" si="25"/>
        <v>0.99999999999999989</v>
      </c>
      <c r="W284">
        <v>237</v>
      </c>
      <c r="X284">
        <f t="shared" ca="1" si="24"/>
        <v>0</v>
      </c>
      <c r="Y284">
        <f t="shared" ca="1" si="26"/>
        <v>0.99999999999999989</v>
      </c>
    </row>
    <row r="285" spans="11:25">
      <c r="K285">
        <v>238</v>
      </c>
      <c r="L285">
        <f t="shared" ca="1" si="23"/>
        <v>0</v>
      </c>
      <c r="M285">
        <f t="shared" ca="1" si="25"/>
        <v>0.99999999999999989</v>
      </c>
      <c r="W285">
        <v>238</v>
      </c>
      <c r="X285">
        <f t="shared" ca="1" si="24"/>
        <v>0</v>
      </c>
      <c r="Y285">
        <f t="shared" ca="1" si="26"/>
        <v>0.99999999999999989</v>
      </c>
    </row>
    <row r="286" spans="11:25">
      <c r="K286">
        <v>239</v>
      </c>
      <c r="L286">
        <f t="shared" ca="1" si="23"/>
        <v>0</v>
      </c>
      <c r="M286">
        <f t="shared" ca="1" si="25"/>
        <v>0.99999999999999989</v>
      </c>
      <c r="W286">
        <v>239</v>
      </c>
      <c r="X286">
        <f t="shared" ca="1" si="24"/>
        <v>0</v>
      </c>
      <c r="Y286">
        <f t="shared" ca="1" si="26"/>
        <v>0.99999999999999989</v>
      </c>
    </row>
    <row r="287" spans="11:25">
      <c r="K287">
        <v>240</v>
      </c>
      <c r="L287">
        <f t="shared" ca="1" si="23"/>
        <v>0</v>
      </c>
      <c r="M287">
        <f t="shared" ca="1" si="25"/>
        <v>0.99999999999999989</v>
      </c>
      <c r="W287">
        <v>240</v>
      </c>
      <c r="X287">
        <f t="shared" ca="1" si="24"/>
        <v>0</v>
      </c>
      <c r="Y287">
        <f t="shared" ca="1" si="26"/>
        <v>0.99999999999999989</v>
      </c>
    </row>
    <row r="288" spans="11:25">
      <c r="K288">
        <v>241</v>
      </c>
      <c r="L288">
        <f t="shared" ca="1" si="23"/>
        <v>0</v>
      </c>
      <c r="M288">
        <f t="shared" ca="1" si="25"/>
        <v>0.99999999999999989</v>
      </c>
      <c r="W288">
        <v>241</v>
      </c>
      <c r="X288">
        <f t="shared" ca="1" si="24"/>
        <v>0</v>
      </c>
      <c r="Y288">
        <f t="shared" ca="1" si="26"/>
        <v>0.99999999999999989</v>
      </c>
    </row>
    <row r="289" spans="11:25">
      <c r="K289">
        <v>242</v>
      </c>
      <c r="L289">
        <f t="shared" ca="1" si="23"/>
        <v>0</v>
      </c>
      <c r="M289">
        <f t="shared" ca="1" si="25"/>
        <v>0.99999999999999989</v>
      </c>
      <c r="W289">
        <v>242</v>
      </c>
      <c r="X289">
        <f t="shared" ca="1" si="24"/>
        <v>0</v>
      </c>
      <c r="Y289">
        <f t="shared" ca="1" si="26"/>
        <v>0.99999999999999989</v>
      </c>
    </row>
    <row r="290" spans="11:25">
      <c r="K290">
        <v>243</v>
      </c>
      <c r="L290">
        <f t="shared" ca="1" si="23"/>
        <v>0</v>
      </c>
      <c r="M290">
        <f t="shared" ca="1" si="25"/>
        <v>0.99999999999999989</v>
      </c>
      <c r="W290">
        <v>243</v>
      </c>
      <c r="X290">
        <f t="shared" ca="1" si="24"/>
        <v>0</v>
      </c>
      <c r="Y290">
        <f t="shared" ca="1" si="26"/>
        <v>0.99999999999999989</v>
      </c>
    </row>
    <row r="291" spans="11:25">
      <c r="K291">
        <v>244</v>
      </c>
      <c r="L291">
        <f t="shared" ca="1" si="23"/>
        <v>0</v>
      </c>
      <c r="M291">
        <f t="shared" ca="1" si="25"/>
        <v>0.99999999999999989</v>
      </c>
      <c r="W291">
        <v>244</v>
      </c>
      <c r="X291">
        <f t="shared" ca="1" si="24"/>
        <v>0</v>
      </c>
      <c r="Y291">
        <f t="shared" ca="1" si="26"/>
        <v>0.99999999999999989</v>
      </c>
    </row>
    <row r="292" spans="11:25">
      <c r="K292">
        <v>245</v>
      </c>
      <c r="L292">
        <f t="shared" ca="1" si="23"/>
        <v>0</v>
      </c>
      <c r="M292">
        <f t="shared" ca="1" si="25"/>
        <v>0.99999999999999989</v>
      </c>
      <c r="W292">
        <v>245</v>
      </c>
      <c r="X292">
        <f t="shared" ca="1" si="24"/>
        <v>0</v>
      </c>
      <c r="Y292">
        <f t="shared" ca="1" si="26"/>
        <v>0.99999999999999989</v>
      </c>
    </row>
    <row r="293" spans="11:25">
      <c r="K293">
        <v>246</v>
      </c>
      <c r="L293">
        <f t="shared" ca="1" si="23"/>
        <v>0</v>
      </c>
      <c r="M293">
        <f t="shared" ca="1" si="25"/>
        <v>0.99999999999999989</v>
      </c>
      <c r="W293">
        <v>246</v>
      </c>
      <c r="X293">
        <f t="shared" ca="1" si="24"/>
        <v>0</v>
      </c>
      <c r="Y293">
        <f t="shared" ca="1" si="26"/>
        <v>0.99999999999999989</v>
      </c>
    </row>
    <row r="294" spans="11:25">
      <c r="K294">
        <v>247</v>
      </c>
      <c r="L294">
        <f t="shared" ca="1" si="23"/>
        <v>0</v>
      </c>
      <c r="M294">
        <f t="shared" ca="1" si="25"/>
        <v>0.99999999999999989</v>
      </c>
      <c r="W294">
        <v>247</v>
      </c>
      <c r="X294">
        <f t="shared" ca="1" si="24"/>
        <v>0</v>
      </c>
      <c r="Y294">
        <f t="shared" ca="1" si="26"/>
        <v>0.99999999999999989</v>
      </c>
    </row>
    <row r="295" spans="11:25">
      <c r="K295">
        <v>248</v>
      </c>
      <c r="L295">
        <f t="shared" ca="1" si="23"/>
        <v>0</v>
      </c>
      <c r="M295">
        <f t="shared" ca="1" si="25"/>
        <v>0.99999999999999989</v>
      </c>
      <c r="W295">
        <v>248</v>
      </c>
      <c r="X295">
        <f t="shared" ca="1" si="24"/>
        <v>0</v>
      </c>
      <c r="Y295">
        <f t="shared" ca="1" si="26"/>
        <v>0.99999999999999989</v>
      </c>
    </row>
    <row r="296" spans="11:25">
      <c r="K296">
        <v>249</v>
      </c>
      <c r="L296">
        <f t="shared" ca="1" si="23"/>
        <v>0</v>
      </c>
      <c r="M296">
        <f t="shared" ca="1" si="25"/>
        <v>0.99999999999999989</v>
      </c>
      <c r="W296">
        <v>249</v>
      </c>
      <c r="X296">
        <f t="shared" ca="1" si="24"/>
        <v>0</v>
      </c>
      <c r="Y296">
        <f t="shared" ca="1" si="26"/>
        <v>0.99999999999999989</v>
      </c>
    </row>
    <row r="297" spans="11:25">
      <c r="K297">
        <v>250</v>
      </c>
      <c r="L297">
        <f t="shared" ca="1" si="23"/>
        <v>0</v>
      </c>
      <c r="M297">
        <f t="shared" ca="1" si="25"/>
        <v>0.99999999999999989</v>
      </c>
      <c r="W297">
        <v>250</v>
      </c>
      <c r="X297">
        <f t="shared" ca="1" si="24"/>
        <v>0</v>
      </c>
      <c r="Y297">
        <f t="shared" ca="1" si="26"/>
        <v>0.99999999999999989</v>
      </c>
    </row>
    <row r="298" spans="11:25">
      <c r="K298">
        <v>251</v>
      </c>
      <c r="L298">
        <f t="shared" ca="1" si="23"/>
        <v>0</v>
      </c>
      <c r="M298">
        <f t="shared" ca="1" si="25"/>
        <v>0.99999999999999989</v>
      </c>
      <c r="W298">
        <v>251</v>
      </c>
      <c r="X298">
        <f t="shared" ca="1" si="24"/>
        <v>0</v>
      </c>
      <c r="Y298">
        <f t="shared" ca="1" si="26"/>
        <v>0.99999999999999989</v>
      </c>
    </row>
    <row r="299" spans="11:25">
      <c r="K299">
        <v>252</v>
      </c>
      <c r="L299">
        <f t="shared" ca="1" si="23"/>
        <v>0</v>
      </c>
      <c r="M299">
        <f t="shared" ca="1" si="25"/>
        <v>0.99999999999999989</v>
      </c>
      <c r="W299">
        <v>252</v>
      </c>
      <c r="X299">
        <f t="shared" ca="1" si="24"/>
        <v>0</v>
      </c>
      <c r="Y299">
        <f t="shared" ca="1" si="26"/>
        <v>0.99999999999999989</v>
      </c>
    </row>
    <row r="300" spans="11:25">
      <c r="K300">
        <v>253</v>
      </c>
      <c r="L300">
        <f t="shared" ca="1" si="23"/>
        <v>0</v>
      </c>
      <c r="M300">
        <f t="shared" ca="1" si="25"/>
        <v>0.99999999999999989</v>
      </c>
      <c r="W300">
        <v>253</v>
      </c>
      <c r="X300">
        <f t="shared" ca="1" si="24"/>
        <v>0</v>
      </c>
      <c r="Y300">
        <f t="shared" ca="1" si="26"/>
        <v>0.99999999999999989</v>
      </c>
    </row>
    <row r="301" spans="11:25">
      <c r="K301">
        <v>254</v>
      </c>
      <c r="L301">
        <f t="shared" ca="1" si="23"/>
        <v>0</v>
      </c>
      <c r="M301">
        <f t="shared" ca="1" si="25"/>
        <v>0.99999999999999989</v>
      </c>
      <c r="W301">
        <v>254</v>
      </c>
      <c r="X301">
        <f t="shared" ca="1" si="24"/>
        <v>0</v>
      </c>
      <c r="Y301">
        <f t="shared" ca="1" si="26"/>
        <v>0.99999999999999989</v>
      </c>
    </row>
    <row r="302" spans="11:25">
      <c r="K302">
        <v>255</v>
      </c>
      <c r="L302">
        <f t="shared" ca="1" si="23"/>
        <v>0</v>
      </c>
      <c r="M302">
        <f t="shared" ca="1" si="25"/>
        <v>0.99999999999999989</v>
      </c>
      <c r="W302">
        <v>255</v>
      </c>
      <c r="X302">
        <f t="shared" ca="1" si="24"/>
        <v>0</v>
      </c>
      <c r="Y302">
        <f t="shared" ca="1" si="26"/>
        <v>0.99999999999999989</v>
      </c>
    </row>
    <row r="303" spans="11:25">
      <c r="K303">
        <v>256</v>
      </c>
      <c r="L303">
        <f t="shared" ref="L303:L366" ca="1" si="27">IF(K303&lt;=$T$19,BINOMDIST(K303,$T$19,$N$43,FALSE),0)</f>
        <v>0</v>
      </c>
      <c r="M303">
        <f t="shared" ca="1" si="25"/>
        <v>0.99999999999999989</v>
      </c>
      <c r="W303">
        <v>256</v>
      </c>
      <c r="X303">
        <f t="shared" ref="X303:X366" ca="1" si="28">IF(W303&lt;=$T$19,BINOMDIST(W303,$T$19,$N$43,FALSE),0)</f>
        <v>0</v>
      </c>
      <c r="Y303">
        <f t="shared" ca="1" si="26"/>
        <v>0.99999999999999989</v>
      </c>
    </row>
    <row r="304" spans="11:25">
      <c r="K304">
        <v>257</v>
      </c>
      <c r="L304">
        <f t="shared" ca="1" si="27"/>
        <v>0</v>
      </c>
      <c r="M304">
        <f t="shared" ca="1" si="25"/>
        <v>0.99999999999999989</v>
      </c>
      <c r="W304">
        <v>257</v>
      </c>
      <c r="X304">
        <f t="shared" ca="1" si="28"/>
        <v>0</v>
      </c>
      <c r="Y304">
        <f t="shared" ca="1" si="26"/>
        <v>0.99999999999999989</v>
      </c>
    </row>
    <row r="305" spans="11:25">
      <c r="K305">
        <v>258</v>
      </c>
      <c r="L305">
        <f t="shared" ca="1" si="27"/>
        <v>0</v>
      </c>
      <c r="M305">
        <f t="shared" ref="M305:M368" ca="1" si="29">L305+M304</f>
        <v>0.99999999999999989</v>
      </c>
      <c r="W305">
        <v>258</v>
      </c>
      <c r="X305">
        <f t="shared" ca="1" si="28"/>
        <v>0</v>
      </c>
      <c r="Y305">
        <f t="shared" ref="Y305:Y368" ca="1" si="30">X305+Y304</f>
        <v>0.99999999999999989</v>
      </c>
    </row>
    <row r="306" spans="11:25">
      <c r="K306">
        <v>259</v>
      </c>
      <c r="L306">
        <f t="shared" ca="1" si="27"/>
        <v>0</v>
      </c>
      <c r="M306">
        <f t="shared" ca="1" si="29"/>
        <v>0.99999999999999989</v>
      </c>
      <c r="W306">
        <v>259</v>
      </c>
      <c r="X306">
        <f t="shared" ca="1" si="28"/>
        <v>0</v>
      </c>
      <c r="Y306">
        <f t="shared" ca="1" si="30"/>
        <v>0.99999999999999989</v>
      </c>
    </row>
    <row r="307" spans="11:25">
      <c r="K307">
        <v>260</v>
      </c>
      <c r="L307">
        <f t="shared" ca="1" si="27"/>
        <v>0</v>
      </c>
      <c r="M307">
        <f t="shared" ca="1" si="29"/>
        <v>0.99999999999999989</v>
      </c>
      <c r="W307">
        <v>260</v>
      </c>
      <c r="X307">
        <f t="shared" ca="1" si="28"/>
        <v>0</v>
      </c>
      <c r="Y307">
        <f t="shared" ca="1" si="30"/>
        <v>0.99999999999999989</v>
      </c>
    </row>
    <row r="308" spans="11:25">
      <c r="K308">
        <v>261</v>
      </c>
      <c r="L308">
        <f t="shared" ca="1" si="27"/>
        <v>0</v>
      </c>
      <c r="M308">
        <f t="shared" ca="1" si="29"/>
        <v>0.99999999999999989</v>
      </c>
      <c r="W308">
        <v>261</v>
      </c>
      <c r="X308">
        <f t="shared" ca="1" si="28"/>
        <v>0</v>
      </c>
      <c r="Y308">
        <f t="shared" ca="1" si="30"/>
        <v>0.99999999999999989</v>
      </c>
    </row>
    <row r="309" spans="11:25">
      <c r="K309">
        <v>262</v>
      </c>
      <c r="L309">
        <f t="shared" ca="1" si="27"/>
        <v>0</v>
      </c>
      <c r="M309">
        <f t="shared" ca="1" si="29"/>
        <v>0.99999999999999989</v>
      </c>
      <c r="W309">
        <v>262</v>
      </c>
      <c r="X309">
        <f t="shared" ca="1" si="28"/>
        <v>0</v>
      </c>
      <c r="Y309">
        <f t="shared" ca="1" si="30"/>
        <v>0.99999999999999989</v>
      </c>
    </row>
    <row r="310" spans="11:25">
      <c r="K310">
        <v>263</v>
      </c>
      <c r="L310">
        <f t="shared" ca="1" si="27"/>
        <v>0</v>
      </c>
      <c r="M310">
        <f t="shared" ca="1" si="29"/>
        <v>0.99999999999999989</v>
      </c>
      <c r="W310">
        <v>263</v>
      </c>
      <c r="X310">
        <f t="shared" ca="1" si="28"/>
        <v>0</v>
      </c>
      <c r="Y310">
        <f t="shared" ca="1" si="30"/>
        <v>0.99999999999999989</v>
      </c>
    </row>
    <row r="311" spans="11:25">
      <c r="K311">
        <v>264</v>
      </c>
      <c r="L311">
        <f t="shared" ca="1" si="27"/>
        <v>0</v>
      </c>
      <c r="M311">
        <f t="shared" ca="1" si="29"/>
        <v>0.99999999999999989</v>
      </c>
      <c r="W311">
        <v>264</v>
      </c>
      <c r="X311">
        <f t="shared" ca="1" si="28"/>
        <v>0</v>
      </c>
      <c r="Y311">
        <f t="shared" ca="1" si="30"/>
        <v>0.99999999999999989</v>
      </c>
    </row>
    <row r="312" spans="11:25">
      <c r="K312">
        <v>265</v>
      </c>
      <c r="L312">
        <f t="shared" ca="1" si="27"/>
        <v>0</v>
      </c>
      <c r="M312">
        <f t="shared" ca="1" si="29"/>
        <v>0.99999999999999989</v>
      </c>
      <c r="W312">
        <v>265</v>
      </c>
      <c r="X312">
        <f t="shared" ca="1" si="28"/>
        <v>0</v>
      </c>
      <c r="Y312">
        <f t="shared" ca="1" si="30"/>
        <v>0.99999999999999989</v>
      </c>
    </row>
    <row r="313" spans="11:25">
      <c r="K313">
        <v>266</v>
      </c>
      <c r="L313">
        <f t="shared" ca="1" si="27"/>
        <v>0</v>
      </c>
      <c r="M313">
        <f t="shared" ca="1" si="29"/>
        <v>0.99999999999999989</v>
      </c>
      <c r="W313">
        <v>266</v>
      </c>
      <c r="X313">
        <f t="shared" ca="1" si="28"/>
        <v>0</v>
      </c>
      <c r="Y313">
        <f t="shared" ca="1" si="30"/>
        <v>0.99999999999999989</v>
      </c>
    </row>
    <row r="314" spans="11:25">
      <c r="K314">
        <v>267</v>
      </c>
      <c r="L314">
        <f t="shared" ca="1" si="27"/>
        <v>0</v>
      </c>
      <c r="M314">
        <f t="shared" ca="1" si="29"/>
        <v>0.99999999999999989</v>
      </c>
      <c r="W314">
        <v>267</v>
      </c>
      <c r="X314">
        <f t="shared" ca="1" si="28"/>
        <v>0</v>
      </c>
      <c r="Y314">
        <f t="shared" ca="1" si="30"/>
        <v>0.99999999999999989</v>
      </c>
    </row>
    <row r="315" spans="11:25">
      <c r="K315">
        <v>268</v>
      </c>
      <c r="L315">
        <f t="shared" ca="1" si="27"/>
        <v>0</v>
      </c>
      <c r="M315">
        <f t="shared" ca="1" si="29"/>
        <v>0.99999999999999989</v>
      </c>
      <c r="W315">
        <v>268</v>
      </c>
      <c r="X315">
        <f t="shared" ca="1" si="28"/>
        <v>0</v>
      </c>
      <c r="Y315">
        <f t="shared" ca="1" si="30"/>
        <v>0.99999999999999989</v>
      </c>
    </row>
    <row r="316" spans="11:25">
      <c r="K316">
        <v>269</v>
      </c>
      <c r="L316">
        <f t="shared" ca="1" si="27"/>
        <v>0</v>
      </c>
      <c r="M316">
        <f t="shared" ca="1" si="29"/>
        <v>0.99999999999999989</v>
      </c>
      <c r="W316">
        <v>269</v>
      </c>
      <c r="X316">
        <f t="shared" ca="1" si="28"/>
        <v>0</v>
      </c>
      <c r="Y316">
        <f t="shared" ca="1" si="30"/>
        <v>0.99999999999999989</v>
      </c>
    </row>
    <row r="317" spans="11:25">
      <c r="K317">
        <v>270</v>
      </c>
      <c r="L317">
        <f t="shared" ca="1" si="27"/>
        <v>0</v>
      </c>
      <c r="M317">
        <f t="shared" ca="1" si="29"/>
        <v>0.99999999999999989</v>
      </c>
      <c r="W317">
        <v>270</v>
      </c>
      <c r="X317">
        <f t="shared" ca="1" si="28"/>
        <v>0</v>
      </c>
      <c r="Y317">
        <f t="shared" ca="1" si="30"/>
        <v>0.99999999999999989</v>
      </c>
    </row>
    <row r="318" spans="11:25">
      <c r="K318">
        <v>271</v>
      </c>
      <c r="L318">
        <f t="shared" ca="1" si="27"/>
        <v>0</v>
      </c>
      <c r="M318">
        <f t="shared" ca="1" si="29"/>
        <v>0.99999999999999989</v>
      </c>
      <c r="W318">
        <v>271</v>
      </c>
      <c r="X318">
        <f t="shared" ca="1" si="28"/>
        <v>0</v>
      </c>
      <c r="Y318">
        <f t="shared" ca="1" si="30"/>
        <v>0.99999999999999989</v>
      </c>
    </row>
    <row r="319" spans="11:25">
      <c r="K319">
        <v>272</v>
      </c>
      <c r="L319">
        <f t="shared" ca="1" si="27"/>
        <v>0</v>
      </c>
      <c r="M319">
        <f t="shared" ca="1" si="29"/>
        <v>0.99999999999999989</v>
      </c>
      <c r="W319">
        <v>272</v>
      </c>
      <c r="X319">
        <f t="shared" ca="1" si="28"/>
        <v>0</v>
      </c>
      <c r="Y319">
        <f t="shared" ca="1" si="30"/>
        <v>0.99999999999999989</v>
      </c>
    </row>
    <row r="320" spans="11:25">
      <c r="K320">
        <v>273</v>
      </c>
      <c r="L320">
        <f t="shared" ca="1" si="27"/>
        <v>0</v>
      </c>
      <c r="M320">
        <f t="shared" ca="1" si="29"/>
        <v>0.99999999999999989</v>
      </c>
      <c r="W320">
        <v>273</v>
      </c>
      <c r="X320">
        <f t="shared" ca="1" si="28"/>
        <v>0</v>
      </c>
      <c r="Y320">
        <f t="shared" ca="1" si="30"/>
        <v>0.99999999999999989</v>
      </c>
    </row>
    <row r="321" spans="11:25">
      <c r="K321">
        <v>274</v>
      </c>
      <c r="L321">
        <f t="shared" ca="1" si="27"/>
        <v>0</v>
      </c>
      <c r="M321">
        <f t="shared" ca="1" si="29"/>
        <v>0.99999999999999989</v>
      </c>
      <c r="W321">
        <v>274</v>
      </c>
      <c r="X321">
        <f t="shared" ca="1" si="28"/>
        <v>0</v>
      </c>
      <c r="Y321">
        <f t="shared" ca="1" si="30"/>
        <v>0.99999999999999989</v>
      </c>
    </row>
    <row r="322" spans="11:25">
      <c r="K322">
        <v>275</v>
      </c>
      <c r="L322">
        <f t="shared" ca="1" si="27"/>
        <v>0</v>
      </c>
      <c r="M322">
        <f t="shared" ca="1" si="29"/>
        <v>0.99999999999999989</v>
      </c>
      <c r="W322">
        <v>275</v>
      </c>
      <c r="X322">
        <f t="shared" ca="1" si="28"/>
        <v>0</v>
      </c>
      <c r="Y322">
        <f t="shared" ca="1" si="30"/>
        <v>0.99999999999999989</v>
      </c>
    </row>
    <row r="323" spans="11:25">
      <c r="K323">
        <v>276</v>
      </c>
      <c r="L323">
        <f t="shared" ca="1" si="27"/>
        <v>0</v>
      </c>
      <c r="M323">
        <f t="shared" ca="1" si="29"/>
        <v>0.99999999999999989</v>
      </c>
      <c r="W323">
        <v>276</v>
      </c>
      <c r="X323">
        <f t="shared" ca="1" si="28"/>
        <v>0</v>
      </c>
      <c r="Y323">
        <f t="shared" ca="1" si="30"/>
        <v>0.99999999999999989</v>
      </c>
    </row>
    <row r="324" spans="11:25">
      <c r="K324">
        <v>277</v>
      </c>
      <c r="L324">
        <f t="shared" ca="1" si="27"/>
        <v>0</v>
      </c>
      <c r="M324">
        <f t="shared" ca="1" si="29"/>
        <v>0.99999999999999989</v>
      </c>
      <c r="W324">
        <v>277</v>
      </c>
      <c r="X324">
        <f t="shared" ca="1" si="28"/>
        <v>0</v>
      </c>
      <c r="Y324">
        <f t="shared" ca="1" si="30"/>
        <v>0.99999999999999989</v>
      </c>
    </row>
    <row r="325" spans="11:25">
      <c r="K325">
        <v>278</v>
      </c>
      <c r="L325">
        <f t="shared" ca="1" si="27"/>
        <v>0</v>
      </c>
      <c r="M325">
        <f t="shared" ca="1" si="29"/>
        <v>0.99999999999999989</v>
      </c>
      <c r="W325">
        <v>278</v>
      </c>
      <c r="X325">
        <f t="shared" ca="1" si="28"/>
        <v>0</v>
      </c>
      <c r="Y325">
        <f t="shared" ca="1" si="30"/>
        <v>0.99999999999999989</v>
      </c>
    </row>
    <row r="326" spans="11:25">
      <c r="K326">
        <v>279</v>
      </c>
      <c r="L326">
        <f t="shared" ca="1" si="27"/>
        <v>0</v>
      </c>
      <c r="M326">
        <f t="shared" ca="1" si="29"/>
        <v>0.99999999999999989</v>
      </c>
      <c r="W326">
        <v>279</v>
      </c>
      <c r="X326">
        <f t="shared" ca="1" si="28"/>
        <v>0</v>
      </c>
      <c r="Y326">
        <f t="shared" ca="1" si="30"/>
        <v>0.99999999999999989</v>
      </c>
    </row>
    <row r="327" spans="11:25">
      <c r="K327">
        <v>280</v>
      </c>
      <c r="L327">
        <f t="shared" ca="1" si="27"/>
        <v>0</v>
      </c>
      <c r="M327">
        <f t="shared" ca="1" si="29"/>
        <v>0.99999999999999989</v>
      </c>
      <c r="W327">
        <v>280</v>
      </c>
      <c r="X327">
        <f t="shared" ca="1" si="28"/>
        <v>0</v>
      </c>
      <c r="Y327">
        <f t="shared" ca="1" si="30"/>
        <v>0.99999999999999989</v>
      </c>
    </row>
    <row r="328" spans="11:25">
      <c r="K328">
        <v>281</v>
      </c>
      <c r="L328">
        <f t="shared" ca="1" si="27"/>
        <v>0</v>
      </c>
      <c r="M328">
        <f t="shared" ca="1" si="29"/>
        <v>0.99999999999999989</v>
      </c>
      <c r="W328">
        <v>281</v>
      </c>
      <c r="X328">
        <f t="shared" ca="1" si="28"/>
        <v>0</v>
      </c>
      <c r="Y328">
        <f t="shared" ca="1" si="30"/>
        <v>0.99999999999999989</v>
      </c>
    </row>
    <row r="329" spans="11:25">
      <c r="K329">
        <v>282</v>
      </c>
      <c r="L329">
        <f t="shared" ca="1" si="27"/>
        <v>0</v>
      </c>
      <c r="M329">
        <f t="shared" ca="1" si="29"/>
        <v>0.99999999999999989</v>
      </c>
      <c r="W329">
        <v>282</v>
      </c>
      <c r="X329">
        <f t="shared" ca="1" si="28"/>
        <v>0</v>
      </c>
      <c r="Y329">
        <f t="shared" ca="1" si="30"/>
        <v>0.99999999999999989</v>
      </c>
    </row>
    <row r="330" spans="11:25">
      <c r="K330">
        <v>283</v>
      </c>
      <c r="L330">
        <f t="shared" ca="1" si="27"/>
        <v>0</v>
      </c>
      <c r="M330">
        <f t="shared" ca="1" si="29"/>
        <v>0.99999999999999989</v>
      </c>
      <c r="W330">
        <v>283</v>
      </c>
      <c r="X330">
        <f t="shared" ca="1" si="28"/>
        <v>0</v>
      </c>
      <c r="Y330">
        <f t="shared" ca="1" si="30"/>
        <v>0.99999999999999989</v>
      </c>
    </row>
    <row r="331" spans="11:25">
      <c r="K331">
        <v>284</v>
      </c>
      <c r="L331">
        <f t="shared" ca="1" si="27"/>
        <v>0</v>
      </c>
      <c r="M331">
        <f t="shared" ca="1" si="29"/>
        <v>0.99999999999999989</v>
      </c>
      <c r="W331">
        <v>284</v>
      </c>
      <c r="X331">
        <f t="shared" ca="1" si="28"/>
        <v>0</v>
      </c>
      <c r="Y331">
        <f t="shared" ca="1" si="30"/>
        <v>0.99999999999999989</v>
      </c>
    </row>
    <row r="332" spans="11:25">
      <c r="K332">
        <v>285</v>
      </c>
      <c r="L332">
        <f t="shared" ca="1" si="27"/>
        <v>0</v>
      </c>
      <c r="M332">
        <f t="shared" ca="1" si="29"/>
        <v>0.99999999999999989</v>
      </c>
      <c r="W332">
        <v>285</v>
      </c>
      <c r="X332">
        <f t="shared" ca="1" si="28"/>
        <v>0</v>
      </c>
      <c r="Y332">
        <f t="shared" ca="1" si="30"/>
        <v>0.99999999999999989</v>
      </c>
    </row>
    <row r="333" spans="11:25">
      <c r="K333">
        <v>286</v>
      </c>
      <c r="L333">
        <f t="shared" ca="1" si="27"/>
        <v>0</v>
      </c>
      <c r="M333">
        <f t="shared" ca="1" si="29"/>
        <v>0.99999999999999989</v>
      </c>
      <c r="W333">
        <v>286</v>
      </c>
      <c r="X333">
        <f t="shared" ca="1" si="28"/>
        <v>0</v>
      </c>
      <c r="Y333">
        <f t="shared" ca="1" si="30"/>
        <v>0.99999999999999989</v>
      </c>
    </row>
    <row r="334" spans="11:25">
      <c r="K334">
        <v>287</v>
      </c>
      <c r="L334">
        <f t="shared" ca="1" si="27"/>
        <v>0</v>
      </c>
      <c r="M334">
        <f t="shared" ca="1" si="29"/>
        <v>0.99999999999999989</v>
      </c>
      <c r="W334">
        <v>287</v>
      </c>
      <c r="X334">
        <f t="shared" ca="1" si="28"/>
        <v>0</v>
      </c>
      <c r="Y334">
        <f t="shared" ca="1" si="30"/>
        <v>0.99999999999999989</v>
      </c>
    </row>
    <row r="335" spans="11:25">
      <c r="K335">
        <v>288</v>
      </c>
      <c r="L335">
        <f t="shared" ca="1" si="27"/>
        <v>0</v>
      </c>
      <c r="M335">
        <f t="shared" ca="1" si="29"/>
        <v>0.99999999999999989</v>
      </c>
      <c r="W335">
        <v>288</v>
      </c>
      <c r="X335">
        <f t="shared" ca="1" si="28"/>
        <v>0</v>
      </c>
      <c r="Y335">
        <f t="shared" ca="1" si="30"/>
        <v>0.99999999999999989</v>
      </c>
    </row>
    <row r="336" spans="11:25">
      <c r="K336">
        <v>289</v>
      </c>
      <c r="L336">
        <f t="shared" ca="1" si="27"/>
        <v>0</v>
      </c>
      <c r="M336">
        <f t="shared" ca="1" si="29"/>
        <v>0.99999999999999989</v>
      </c>
      <c r="W336">
        <v>289</v>
      </c>
      <c r="X336">
        <f t="shared" ca="1" si="28"/>
        <v>0</v>
      </c>
      <c r="Y336">
        <f t="shared" ca="1" si="30"/>
        <v>0.99999999999999989</v>
      </c>
    </row>
    <row r="337" spans="11:25">
      <c r="K337">
        <v>290</v>
      </c>
      <c r="L337">
        <f t="shared" ca="1" si="27"/>
        <v>0</v>
      </c>
      <c r="M337">
        <f t="shared" ca="1" si="29"/>
        <v>0.99999999999999989</v>
      </c>
      <c r="W337">
        <v>290</v>
      </c>
      <c r="X337">
        <f t="shared" ca="1" si="28"/>
        <v>0</v>
      </c>
      <c r="Y337">
        <f t="shared" ca="1" si="30"/>
        <v>0.99999999999999989</v>
      </c>
    </row>
    <row r="338" spans="11:25">
      <c r="K338">
        <v>291</v>
      </c>
      <c r="L338">
        <f t="shared" ca="1" si="27"/>
        <v>0</v>
      </c>
      <c r="M338">
        <f t="shared" ca="1" si="29"/>
        <v>0.99999999999999989</v>
      </c>
      <c r="W338">
        <v>291</v>
      </c>
      <c r="X338">
        <f t="shared" ca="1" si="28"/>
        <v>0</v>
      </c>
      <c r="Y338">
        <f t="shared" ca="1" si="30"/>
        <v>0.99999999999999989</v>
      </c>
    </row>
    <row r="339" spans="11:25">
      <c r="K339">
        <v>292</v>
      </c>
      <c r="L339">
        <f t="shared" ca="1" si="27"/>
        <v>0</v>
      </c>
      <c r="M339">
        <f t="shared" ca="1" si="29"/>
        <v>0.99999999999999989</v>
      </c>
      <c r="W339">
        <v>292</v>
      </c>
      <c r="X339">
        <f t="shared" ca="1" si="28"/>
        <v>0</v>
      </c>
      <c r="Y339">
        <f t="shared" ca="1" si="30"/>
        <v>0.99999999999999989</v>
      </c>
    </row>
    <row r="340" spans="11:25">
      <c r="K340">
        <v>293</v>
      </c>
      <c r="L340">
        <f t="shared" ca="1" si="27"/>
        <v>0</v>
      </c>
      <c r="M340">
        <f t="shared" ca="1" si="29"/>
        <v>0.99999999999999989</v>
      </c>
      <c r="W340">
        <v>293</v>
      </c>
      <c r="X340">
        <f t="shared" ca="1" si="28"/>
        <v>0</v>
      </c>
      <c r="Y340">
        <f t="shared" ca="1" si="30"/>
        <v>0.99999999999999989</v>
      </c>
    </row>
    <row r="341" spans="11:25">
      <c r="K341">
        <v>294</v>
      </c>
      <c r="L341">
        <f t="shared" ca="1" si="27"/>
        <v>0</v>
      </c>
      <c r="M341">
        <f t="shared" ca="1" si="29"/>
        <v>0.99999999999999989</v>
      </c>
      <c r="W341">
        <v>294</v>
      </c>
      <c r="X341">
        <f t="shared" ca="1" si="28"/>
        <v>0</v>
      </c>
      <c r="Y341">
        <f t="shared" ca="1" si="30"/>
        <v>0.99999999999999989</v>
      </c>
    </row>
    <row r="342" spans="11:25">
      <c r="K342">
        <v>295</v>
      </c>
      <c r="L342">
        <f t="shared" ca="1" si="27"/>
        <v>0</v>
      </c>
      <c r="M342">
        <f t="shared" ca="1" si="29"/>
        <v>0.99999999999999989</v>
      </c>
      <c r="W342">
        <v>295</v>
      </c>
      <c r="X342">
        <f t="shared" ca="1" si="28"/>
        <v>0</v>
      </c>
      <c r="Y342">
        <f t="shared" ca="1" si="30"/>
        <v>0.99999999999999989</v>
      </c>
    </row>
    <row r="343" spans="11:25">
      <c r="K343">
        <v>296</v>
      </c>
      <c r="L343">
        <f t="shared" ca="1" si="27"/>
        <v>0</v>
      </c>
      <c r="M343">
        <f t="shared" ca="1" si="29"/>
        <v>0.99999999999999989</v>
      </c>
      <c r="W343">
        <v>296</v>
      </c>
      <c r="X343">
        <f t="shared" ca="1" si="28"/>
        <v>0</v>
      </c>
      <c r="Y343">
        <f t="shared" ca="1" si="30"/>
        <v>0.99999999999999989</v>
      </c>
    </row>
    <row r="344" spans="11:25">
      <c r="K344">
        <v>297</v>
      </c>
      <c r="L344">
        <f t="shared" ca="1" si="27"/>
        <v>0</v>
      </c>
      <c r="M344">
        <f t="shared" ca="1" si="29"/>
        <v>0.99999999999999989</v>
      </c>
      <c r="W344">
        <v>297</v>
      </c>
      <c r="X344">
        <f t="shared" ca="1" si="28"/>
        <v>0</v>
      </c>
      <c r="Y344">
        <f t="shared" ca="1" si="30"/>
        <v>0.99999999999999989</v>
      </c>
    </row>
    <row r="345" spans="11:25">
      <c r="K345">
        <v>298</v>
      </c>
      <c r="L345">
        <f t="shared" ca="1" si="27"/>
        <v>0</v>
      </c>
      <c r="M345">
        <f t="shared" ca="1" si="29"/>
        <v>0.99999999999999989</v>
      </c>
      <c r="W345">
        <v>298</v>
      </c>
      <c r="X345">
        <f t="shared" ca="1" si="28"/>
        <v>0</v>
      </c>
      <c r="Y345">
        <f t="shared" ca="1" si="30"/>
        <v>0.99999999999999989</v>
      </c>
    </row>
    <row r="346" spans="11:25">
      <c r="K346">
        <v>299</v>
      </c>
      <c r="L346">
        <f t="shared" ca="1" si="27"/>
        <v>0</v>
      </c>
      <c r="M346">
        <f t="shared" ca="1" si="29"/>
        <v>0.99999999999999989</v>
      </c>
      <c r="W346">
        <v>299</v>
      </c>
      <c r="X346">
        <f t="shared" ca="1" si="28"/>
        <v>0</v>
      </c>
      <c r="Y346">
        <f t="shared" ca="1" si="30"/>
        <v>0.99999999999999989</v>
      </c>
    </row>
    <row r="347" spans="11:25">
      <c r="K347">
        <v>300</v>
      </c>
      <c r="L347">
        <f t="shared" ca="1" si="27"/>
        <v>0</v>
      </c>
      <c r="M347">
        <f t="shared" ca="1" si="29"/>
        <v>0.99999999999999989</v>
      </c>
      <c r="W347">
        <v>300</v>
      </c>
      <c r="X347">
        <f t="shared" ca="1" si="28"/>
        <v>0</v>
      </c>
      <c r="Y347">
        <f t="shared" ca="1" si="30"/>
        <v>0.99999999999999989</v>
      </c>
    </row>
    <row r="348" spans="11:25">
      <c r="K348">
        <v>301</v>
      </c>
      <c r="L348">
        <f t="shared" ca="1" si="27"/>
        <v>0</v>
      </c>
      <c r="M348">
        <f t="shared" ca="1" si="29"/>
        <v>0.99999999999999989</v>
      </c>
      <c r="W348">
        <v>301</v>
      </c>
      <c r="X348">
        <f t="shared" ca="1" si="28"/>
        <v>0</v>
      </c>
      <c r="Y348">
        <f t="shared" ca="1" si="30"/>
        <v>0.99999999999999989</v>
      </c>
    </row>
    <row r="349" spans="11:25">
      <c r="K349">
        <v>302</v>
      </c>
      <c r="L349">
        <f t="shared" ca="1" si="27"/>
        <v>0</v>
      </c>
      <c r="M349">
        <f t="shared" ca="1" si="29"/>
        <v>0.99999999999999989</v>
      </c>
      <c r="W349">
        <v>302</v>
      </c>
      <c r="X349">
        <f t="shared" ca="1" si="28"/>
        <v>0</v>
      </c>
      <c r="Y349">
        <f t="shared" ca="1" si="30"/>
        <v>0.99999999999999989</v>
      </c>
    </row>
    <row r="350" spans="11:25">
      <c r="K350">
        <v>303</v>
      </c>
      <c r="L350">
        <f t="shared" ca="1" si="27"/>
        <v>0</v>
      </c>
      <c r="M350">
        <f t="shared" ca="1" si="29"/>
        <v>0.99999999999999989</v>
      </c>
      <c r="W350">
        <v>303</v>
      </c>
      <c r="X350">
        <f t="shared" ca="1" si="28"/>
        <v>0</v>
      </c>
      <c r="Y350">
        <f t="shared" ca="1" si="30"/>
        <v>0.99999999999999989</v>
      </c>
    </row>
    <row r="351" spans="11:25">
      <c r="K351">
        <v>304</v>
      </c>
      <c r="L351">
        <f t="shared" ca="1" si="27"/>
        <v>0</v>
      </c>
      <c r="M351">
        <f t="shared" ca="1" si="29"/>
        <v>0.99999999999999989</v>
      </c>
      <c r="W351">
        <v>304</v>
      </c>
      <c r="X351">
        <f t="shared" ca="1" si="28"/>
        <v>0</v>
      </c>
      <c r="Y351">
        <f t="shared" ca="1" si="30"/>
        <v>0.99999999999999989</v>
      </c>
    </row>
    <row r="352" spans="11:25">
      <c r="K352">
        <v>305</v>
      </c>
      <c r="L352">
        <f t="shared" ca="1" si="27"/>
        <v>0</v>
      </c>
      <c r="M352">
        <f t="shared" ca="1" si="29"/>
        <v>0.99999999999999989</v>
      </c>
      <c r="W352">
        <v>305</v>
      </c>
      <c r="X352">
        <f t="shared" ca="1" si="28"/>
        <v>0</v>
      </c>
      <c r="Y352">
        <f t="shared" ca="1" si="30"/>
        <v>0.99999999999999989</v>
      </c>
    </row>
    <row r="353" spans="11:25">
      <c r="K353">
        <v>306</v>
      </c>
      <c r="L353">
        <f t="shared" ca="1" si="27"/>
        <v>0</v>
      </c>
      <c r="M353">
        <f t="shared" ca="1" si="29"/>
        <v>0.99999999999999989</v>
      </c>
      <c r="W353">
        <v>306</v>
      </c>
      <c r="X353">
        <f t="shared" ca="1" si="28"/>
        <v>0</v>
      </c>
      <c r="Y353">
        <f t="shared" ca="1" si="30"/>
        <v>0.99999999999999989</v>
      </c>
    </row>
    <row r="354" spans="11:25">
      <c r="K354">
        <v>307</v>
      </c>
      <c r="L354">
        <f t="shared" ca="1" si="27"/>
        <v>0</v>
      </c>
      <c r="M354">
        <f t="shared" ca="1" si="29"/>
        <v>0.99999999999999989</v>
      </c>
      <c r="W354">
        <v>307</v>
      </c>
      <c r="X354">
        <f t="shared" ca="1" si="28"/>
        <v>0</v>
      </c>
      <c r="Y354">
        <f t="shared" ca="1" si="30"/>
        <v>0.99999999999999989</v>
      </c>
    </row>
    <row r="355" spans="11:25">
      <c r="K355">
        <v>308</v>
      </c>
      <c r="L355">
        <f t="shared" ca="1" si="27"/>
        <v>0</v>
      </c>
      <c r="M355">
        <f t="shared" ca="1" si="29"/>
        <v>0.99999999999999989</v>
      </c>
      <c r="W355">
        <v>308</v>
      </c>
      <c r="X355">
        <f t="shared" ca="1" si="28"/>
        <v>0</v>
      </c>
      <c r="Y355">
        <f t="shared" ca="1" si="30"/>
        <v>0.99999999999999989</v>
      </c>
    </row>
    <row r="356" spans="11:25">
      <c r="K356">
        <v>309</v>
      </c>
      <c r="L356">
        <f t="shared" ca="1" si="27"/>
        <v>0</v>
      </c>
      <c r="M356">
        <f t="shared" ca="1" si="29"/>
        <v>0.99999999999999989</v>
      </c>
      <c r="W356">
        <v>309</v>
      </c>
      <c r="X356">
        <f t="shared" ca="1" si="28"/>
        <v>0</v>
      </c>
      <c r="Y356">
        <f t="shared" ca="1" si="30"/>
        <v>0.99999999999999989</v>
      </c>
    </row>
    <row r="357" spans="11:25">
      <c r="K357">
        <v>310</v>
      </c>
      <c r="L357">
        <f t="shared" ca="1" si="27"/>
        <v>0</v>
      </c>
      <c r="M357">
        <f t="shared" ca="1" si="29"/>
        <v>0.99999999999999989</v>
      </c>
      <c r="W357">
        <v>310</v>
      </c>
      <c r="X357">
        <f t="shared" ca="1" si="28"/>
        <v>0</v>
      </c>
      <c r="Y357">
        <f t="shared" ca="1" si="30"/>
        <v>0.99999999999999989</v>
      </c>
    </row>
    <row r="358" spans="11:25">
      <c r="K358">
        <v>311</v>
      </c>
      <c r="L358">
        <f t="shared" ca="1" si="27"/>
        <v>0</v>
      </c>
      <c r="M358">
        <f t="shared" ca="1" si="29"/>
        <v>0.99999999999999989</v>
      </c>
      <c r="W358">
        <v>311</v>
      </c>
      <c r="X358">
        <f t="shared" ca="1" si="28"/>
        <v>0</v>
      </c>
      <c r="Y358">
        <f t="shared" ca="1" si="30"/>
        <v>0.99999999999999989</v>
      </c>
    </row>
    <row r="359" spans="11:25">
      <c r="K359">
        <v>312</v>
      </c>
      <c r="L359">
        <f t="shared" ca="1" si="27"/>
        <v>0</v>
      </c>
      <c r="M359">
        <f t="shared" ca="1" si="29"/>
        <v>0.99999999999999989</v>
      </c>
      <c r="W359">
        <v>312</v>
      </c>
      <c r="X359">
        <f t="shared" ca="1" si="28"/>
        <v>0</v>
      </c>
      <c r="Y359">
        <f t="shared" ca="1" si="30"/>
        <v>0.99999999999999989</v>
      </c>
    </row>
    <row r="360" spans="11:25">
      <c r="K360">
        <v>313</v>
      </c>
      <c r="L360">
        <f t="shared" ca="1" si="27"/>
        <v>0</v>
      </c>
      <c r="M360">
        <f t="shared" ca="1" si="29"/>
        <v>0.99999999999999989</v>
      </c>
      <c r="W360">
        <v>313</v>
      </c>
      <c r="X360">
        <f t="shared" ca="1" si="28"/>
        <v>0</v>
      </c>
      <c r="Y360">
        <f t="shared" ca="1" si="30"/>
        <v>0.99999999999999989</v>
      </c>
    </row>
    <row r="361" spans="11:25">
      <c r="K361">
        <v>314</v>
      </c>
      <c r="L361">
        <f t="shared" ca="1" si="27"/>
        <v>0</v>
      </c>
      <c r="M361">
        <f t="shared" ca="1" si="29"/>
        <v>0.99999999999999989</v>
      </c>
      <c r="W361">
        <v>314</v>
      </c>
      <c r="X361">
        <f t="shared" ca="1" si="28"/>
        <v>0</v>
      </c>
      <c r="Y361">
        <f t="shared" ca="1" si="30"/>
        <v>0.99999999999999989</v>
      </c>
    </row>
    <row r="362" spans="11:25">
      <c r="K362">
        <v>315</v>
      </c>
      <c r="L362">
        <f t="shared" ca="1" si="27"/>
        <v>0</v>
      </c>
      <c r="M362">
        <f t="shared" ca="1" si="29"/>
        <v>0.99999999999999989</v>
      </c>
      <c r="W362">
        <v>315</v>
      </c>
      <c r="X362">
        <f t="shared" ca="1" si="28"/>
        <v>0</v>
      </c>
      <c r="Y362">
        <f t="shared" ca="1" si="30"/>
        <v>0.99999999999999989</v>
      </c>
    </row>
    <row r="363" spans="11:25">
      <c r="K363">
        <v>316</v>
      </c>
      <c r="L363">
        <f t="shared" ca="1" si="27"/>
        <v>0</v>
      </c>
      <c r="M363">
        <f t="shared" ca="1" si="29"/>
        <v>0.99999999999999989</v>
      </c>
      <c r="W363">
        <v>316</v>
      </c>
      <c r="X363">
        <f t="shared" ca="1" si="28"/>
        <v>0</v>
      </c>
      <c r="Y363">
        <f t="shared" ca="1" si="30"/>
        <v>0.99999999999999989</v>
      </c>
    </row>
    <row r="364" spans="11:25">
      <c r="K364">
        <v>317</v>
      </c>
      <c r="L364">
        <f t="shared" ca="1" si="27"/>
        <v>0</v>
      </c>
      <c r="M364">
        <f t="shared" ca="1" si="29"/>
        <v>0.99999999999999989</v>
      </c>
      <c r="W364">
        <v>317</v>
      </c>
      <c r="X364">
        <f t="shared" ca="1" si="28"/>
        <v>0</v>
      </c>
      <c r="Y364">
        <f t="shared" ca="1" si="30"/>
        <v>0.99999999999999989</v>
      </c>
    </row>
    <row r="365" spans="11:25">
      <c r="K365">
        <v>318</v>
      </c>
      <c r="L365">
        <f t="shared" ca="1" si="27"/>
        <v>0</v>
      </c>
      <c r="M365">
        <f t="shared" ca="1" si="29"/>
        <v>0.99999999999999989</v>
      </c>
      <c r="W365">
        <v>318</v>
      </c>
      <c r="X365">
        <f t="shared" ca="1" si="28"/>
        <v>0</v>
      </c>
      <c r="Y365">
        <f t="shared" ca="1" si="30"/>
        <v>0.99999999999999989</v>
      </c>
    </row>
    <row r="366" spans="11:25">
      <c r="K366">
        <v>319</v>
      </c>
      <c r="L366">
        <f t="shared" ca="1" si="27"/>
        <v>0</v>
      </c>
      <c r="M366">
        <f t="shared" ca="1" si="29"/>
        <v>0.99999999999999989</v>
      </c>
      <c r="W366">
        <v>319</v>
      </c>
      <c r="X366">
        <f t="shared" ca="1" si="28"/>
        <v>0</v>
      </c>
      <c r="Y366">
        <f t="shared" ca="1" si="30"/>
        <v>0.99999999999999989</v>
      </c>
    </row>
    <row r="367" spans="11:25">
      <c r="K367">
        <v>320</v>
      </c>
      <c r="L367">
        <f t="shared" ref="L367:L403" ca="1" si="31">IF(K367&lt;=$T$19,BINOMDIST(K367,$T$19,$N$43,FALSE),0)</f>
        <v>0</v>
      </c>
      <c r="M367">
        <f t="shared" ca="1" si="29"/>
        <v>0.99999999999999989</v>
      </c>
      <c r="W367">
        <v>320</v>
      </c>
      <c r="X367">
        <f t="shared" ref="X367:X403" ca="1" si="32">IF(W367&lt;=$T$19,BINOMDIST(W367,$T$19,$N$43,FALSE),0)</f>
        <v>0</v>
      </c>
      <c r="Y367">
        <f t="shared" ca="1" si="30"/>
        <v>0.99999999999999989</v>
      </c>
    </row>
    <row r="368" spans="11:25">
      <c r="K368">
        <v>321</v>
      </c>
      <c r="L368">
        <f t="shared" ca="1" si="31"/>
        <v>0</v>
      </c>
      <c r="M368">
        <f t="shared" ca="1" si="29"/>
        <v>0.99999999999999989</v>
      </c>
      <c r="W368">
        <v>321</v>
      </c>
      <c r="X368">
        <f t="shared" ca="1" si="32"/>
        <v>0</v>
      </c>
      <c r="Y368">
        <f t="shared" ca="1" si="30"/>
        <v>0.99999999999999989</v>
      </c>
    </row>
    <row r="369" spans="11:25">
      <c r="K369">
        <v>322</v>
      </c>
      <c r="L369">
        <f t="shared" ca="1" si="31"/>
        <v>0</v>
      </c>
      <c r="M369">
        <f t="shared" ref="M369:M403" ca="1" si="33">L369+M368</f>
        <v>0.99999999999999989</v>
      </c>
      <c r="W369">
        <v>322</v>
      </c>
      <c r="X369">
        <f t="shared" ca="1" si="32"/>
        <v>0</v>
      </c>
      <c r="Y369">
        <f t="shared" ref="Y369:Y403" ca="1" si="34">X369+Y368</f>
        <v>0.99999999999999989</v>
      </c>
    </row>
    <row r="370" spans="11:25">
      <c r="K370">
        <v>323</v>
      </c>
      <c r="L370">
        <f t="shared" ca="1" si="31"/>
        <v>0</v>
      </c>
      <c r="M370">
        <f t="shared" ca="1" si="33"/>
        <v>0.99999999999999989</v>
      </c>
      <c r="W370">
        <v>323</v>
      </c>
      <c r="X370">
        <f t="shared" ca="1" si="32"/>
        <v>0</v>
      </c>
      <c r="Y370">
        <f t="shared" ca="1" si="34"/>
        <v>0.99999999999999989</v>
      </c>
    </row>
    <row r="371" spans="11:25">
      <c r="K371">
        <v>324</v>
      </c>
      <c r="L371">
        <f t="shared" ca="1" si="31"/>
        <v>0</v>
      </c>
      <c r="M371">
        <f t="shared" ca="1" si="33"/>
        <v>0.99999999999999989</v>
      </c>
      <c r="W371">
        <v>324</v>
      </c>
      <c r="X371">
        <f t="shared" ca="1" si="32"/>
        <v>0</v>
      </c>
      <c r="Y371">
        <f t="shared" ca="1" si="34"/>
        <v>0.99999999999999989</v>
      </c>
    </row>
    <row r="372" spans="11:25">
      <c r="K372">
        <v>325</v>
      </c>
      <c r="L372">
        <f t="shared" ca="1" si="31"/>
        <v>0</v>
      </c>
      <c r="M372">
        <f t="shared" ca="1" si="33"/>
        <v>0.99999999999999989</v>
      </c>
      <c r="W372">
        <v>325</v>
      </c>
      <c r="X372">
        <f t="shared" ca="1" si="32"/>
        <v>0</v>
      </c>
      <c r="Y372">
        <f t="shared" ca="1" si="34"/>
        <v>0.99999999999999989</v>
      </c>
    </row>
    <row r="373" spans="11:25">
      <c r="K373">
        <v>326</v>
      </c>
      <c r="L373">
        <f t="shared" ca="1" si="31"/>
        <v>0</v>
      </c>
      <c r="M373">
        <f t="shared" ca="1" si="33"/>
        <v>0.99999999999999989</v>
      </c>
      <c r="W373">
        <v>326</v>
      </c>
      <c r="X373">
        <f t="shared" ca="1" si="32"/>
        <v>0</v>
      </c>
      <c r="Y373">
        <f t="shared" ca="1" si="34"/>
        <v>0.99999999999999989</v>
      </c>
    </row>
    <row r="374" spans="11:25">
      <c r="K374">
        <v>327</v>
      </c>
      <c r="L374">
        <f t="shared" ca="1" si="31"/>
        <v>0</v>
      </c>
      <c r="M374">
        <f t="shared" ca="1" si="33"/>
        <v>0.99999999999999989</v>
      </c>
      <c r="W374">
        <v>327</v>
      </c>
      <c r="X374">
        <f t="shared" ca="1" si="32"/>
        <v>0</v>
      </c>
      <c r="Y374">
        <f t="shared" ca="1" si="34"/>
        <v>0.99999999999999989</v>
      </c>
    </row>
    <row r="375" spans="11:25">
      <c r="K375">
        <v>328</v>
      </c>
      <c r="L375">
        <f t="shared" ca="1" si="31"/>
        <v>0</v>
      </c>
      <c r="M375">
        <f t="shared" ca="1" si="33"/>
        <v>0.99999999999999989</v>
      </c>
      <c r="W375">
        <v>328</v>
      </c>
      <c r="X375">
        <f t="shared" ca="1" si="32"/>
        <v>0</v>
      </c>
      <c r="Y375">
        <f t="shared" ca="1" si="34"/>
        <v>0.99999999999999989</v>
      </c>
    </row>
    <row r="376" spans="11:25">
      <c r="K376">
        <v>329</v>
      </c>
      <c r="L376">
        <f t="shared" ca="1" si="31"/>
        <v>0</v>
      </c>
      <c r="M376">
        <f t="shared" ca="1" si="33"/>
        <v>0.99999999999999989</v>
      </c>
      <c r="W376">
        <v>329</v>
      </c>
      <c r="X376">
        <f t="shared" ca="1" si="32"/>
        <v>0</v>
      </c>
      <c r="Y376">
        <f t="shared" ca="1" si="34"/>
        <v>0.99999999999999989</v>
      </c>
    </row>
    <row r="377" spans="11:25">
      <c r="K377">
        <v>330</v>
      </c>
      <c r="L377">
        <f t="shared" ca="1" si="31"/>
        <v>0</v>
      </c>
      <c r="M377">
        <f t="shared" ca="1" si="33"/>
        <v>0.99999999999999989</v>
      </c>
      <c r="W377">
        <v>330</v>
      </c>
      <c r="X377">
        <f t="shared" ca="1" si="32"/>
        <v>0</v>
      </c>
      <c r="Y377">
        <f t="shared" ca="1" si="34"/>
        <v>0.99999999999999989</v>
      </c>
    </row>
    <row r="378" spans="11:25">
      <c r="K378">
        <v>331</v>
      </c>
      <c r="L378">
        <f t="shared" ca="1" si="31"/>
        <v>0</v>
      </c>
      <c r="M378">
        <f t="shared" ca="1" si="33"/>
        <v>0.99999999999999989</v>
      </c>
      <c r="W378">
        <v>331</v>
      </c>
      <c r="X378">
        <f t="shared" ca="1" si="32"/>
        <v>0</v>
      </c>
      <c r="Y378">
        <f t="shared" ca="1" si="34"/>
        <v>0.99999999999999989</v>
      </c>
    </row>
    <row r="379" spans="11:25">
      <c r="K379">
        <v>332</v>
      </c>
      <c r="L379">
        <f t="shared" ca="1" si="31"/>
        <v>0</v>
      </c>
      <c r="M379">
        <f t="shared" ca="1" si="33"/>
        <v>0.99999999999999989</v>
      </c>
      <c r="W379">
        <v>332</v>
      </c>
      <c r="X379">
        <f t="shared" ca="1" si="32"/>
        <v>0</v>
      </c>
      <c r="Y379">
        <f t="shared" ca="1" si="34"/>
        <v>0.99999999999999989</v>
      </c>
    </row>
    <row r="380" spans="11:25">
      <c r="K380">
        <v>333</v>
      </c>
      <c r="L380">
        <f t="shared" ca="1" si="31"/>
        <v>0</v>
      </c>
      <c r="M380">
        <f t="shared" ca="1" si="33"/>
        <v>0.99999999999999989</v>
      </c>
      <c r="W380">
        <v>333</v>
      </c>
      <c r="X380">
        <f t="shared" ca="1" si="32"/>
        <v>0</v>
      </c>
      <c r="Y380">
        <f t="shared" ca="1" si="34"/>
        <v>0.99999999999999989</v>
      </c>
    </row>
    <row r="381" spans="11:25">
      <c r="K381">
        <v>334</v>
      </c>
      <c r="L381">
        <f t="shared" ca="1" si="31"/>
        <v>0</v>
      </c>
      <c r="M381">
        <f t="shared" ca="1" si="33"/>
        <v>0.99999999999999989</v>
      </c>
      <c r="W381">
        <v>334</v>
      </c>
      <c r="X381">
        <f t="shared" ca="1" si="32"/>
        <v>0</v>
      </c>
      <c r="Y381">
        <f t="shared" ca="1" si="34"/>
        <v>0.99999999999999989</v>
      </c>
    </row>
    <row r="382" spans="11:25">
      <c r="K382">
        <v>335</v>
      </c>
      <c r="L382">
        <f t="shared" ca="1" si="31"/>
        <v>0</v>
      </c>
      <c r="M382">
        <f t="shared" ca="1" si="33"/>
        <v>0.99999999999999989</v>
      </c>
      <c r="W382">
        <v>335</v>
      </c>
      <c r="X382">
        <f t="shared" ca="1" si="32"/>
        <v>0</v>
      </c>
      <c r="Y382">
        <f t="shared" ca="1" si="34"/>
        <v>0.99999999999999989</v>
      </c>
    </row>
    <row r="383" spans="11:25">
      <c r="K383">
        <v>336</v>
      </c>
      <c r="L383">
        <f t="shared" ca="1" si="31"/>
        <v>0</v>
      </c>
      <c r="M383">
        <f t="shared" ca="1" si="33"/>
        <v>0.99999999999999989</v>
      </c>
      <c r="W383">
        <v>336</v>
      </c>
      <c r="X383">
        <f t="shared" ca="1" si="32"/>
        <v>0</v>
      </c>
      <c r="Y383">
        <f t="shared" ca="1" si="34"/>
        <v>0.99999999999999989</v>
      </c>
    </row>
    <row r="384" spans="11:25">
      <c r="K384">
        <v>337</v>
      </c>
      <c r="L384">
        <f t="shared" ca="1" si="31"/>
        <v>0</v>
      </c>
      <c r="M384">
        <f t="shared" ca="1" si="33"/>
        <v>0.99999999999999989</v>
      </c>
      <c r="W384">
        <v>337</v>
      </c>
      <c r="X384">
        <f t="shared" ca="1" si="32"/>
        <v>0</v>
      </c>
      <c r="Y384">
        <f t="shared" ca="1" si="34"/>
        <v>0.99999999999999989</v>
      </c>
    </row>
    <row r="385" spans="11:25">
      <c r="K385">
        <v>338</v>
      </c>
      <c r="L385">
        <f t="shared" ca="1" si="31"/>
        <v>0</v>
      </c>
      <c r="M385">
        <f t="shared" ca="1" si="33"/>
        <v>0.99999999999999989</v>
      </c>
      <c r="W385">
        <v>338</v>
      </c>
      <c r="X385">
        <f t="shared" ca="1" si="32"/>
        <v>0</v>
      </c>
      <c r="Y385">
        <f t="shared" ca="1" si="34"/>
        <v>0.99999999999999989</v>
      </c>
    </row>
    <row r="386" spans="11:25">
      <c r="K386">
        <v>339</v>
      </c>
      <c r="L386">
        <f t="shared" ca="1" si="31"/>
        <v>0</v>
      </c>
      <c r="M386">
        <f t="shared" ca="1" si="33"/>
        <v>0.99999999999999989</v>
      </c>
      <c r="W386">
        <v>339</v>
      </c>
      <c r="X386">
        <f t="shared" ca="1" si="32"/>
        <v>0</v>
      </c>
      <c r="Y386">
        <f t="shared" ca="1" si="34"/>
        <v>0.99999999999999989</v>
      </c>
    </row>
    <row r="387" spans="11:25">
      <c r="K387">
        <v>340</v>
      </c>
      <c r="L387">
        <f t="shared" ca="1" si="31"/>
        <v>0</v>
      </c>
      <c r="M387">
        <f t="shared" ca="1" si="33"/>
        <v>0.99999999999999989</v>
      </c>
      <c r="W387">
        <v>340</v>
      </c>
      <c r="X387">
        <f t="shared" ca="1" si="32"/>
        <v>0</v>
      </c>
      <c r="Y387">
        <f t="shared" ca="1" si="34"/>
        <v>0.99999999999999989</v>
      </c>
    </row>
    <row r="388" spans="11:25">
      <c r="K388">
        <v>341</v>
      </c>
      <c r="L388">
        <f t="shared" ca="1" si="31"/>
        <v>0</v>
      </c>
      <c r="M388">
        <f t="shared" ca="1" si="33"/>
        <v>0.99999999999999989</v>
      </c>
      <c r="W388">
        <v>341</v>
      </c>
      <c r="X388">
        <f t="shared" ca="1" si="32"/>
        <v>0</v>
      </c>
      <c r="Y388">
        <f t="shared" ca="1" si="34"/>
        <v>0.99999999999999989</v>
      </c>
    </row>
    <row r="389" spans="11:25">
      <c r="K389">
        <v>342</v>
      </c>
      <c r="L389">
        <f t="shared" ca="1" si="31"/>
        <v>0</v>
      </c>
      <c r="M389">
        <f t="shared" ca="1" si="33"/>
        <v>0.99999999999999989</v>
      </c>
      <c r="W389">
        <v>342</v>
      </c>
      <c r="X389">
        <f t="shared" ca="1" si="32"/>
        <v>0</v>
      </c>
      <c r="Y389">
        <f t="shared" ca="1" si="34"/>
        <v>0.99999999999999989</v>
      </c>
    </row>
    <row r="390" spans="11:25">
      <c r="K390">
        <v>343</v>
      </c>
      <c r="L390">
        <f t="shared" ca="1" si="31"/>
        <v>0</v>
      </c>
      <c r="M390">
        <f t="shared" ca="1" si="33"/>
        <v>0.99999999999999989</v>
      </c>
      <c r="W390">
        <v>343</v>
      </c>
      <c r="X390">
        <f t="shared" ca="1" si="32"/>
        <v>0</v>
      </c>
      <c r="Y390">
        <f t="shared" ca="1" si="34"/>
        <v>0.99999999999999989</v>
      </c>
    </row>
    <row r="391" spans="11:25">
      <c r="K391">
        <v>344</v>
      </c>
      <c r="L391">
        <f t="shared" ca="1" si="31"/>
        <v>0</v>
      </c>
      <c r="M391">
        <f t="shared" ca="1" si="33"/>
        <v>0.99999999999999989</v>
      </c>
      <c r="W391">
        <v>344</v>
      </c>
      <c r="X391">
        <f t="shared" ca="1" si="32"/>
        <v>0</v>
      </c>
      <c r="Y391">
        <f t="shared" ca="1" si="34"/>
        <v>0.99999999999999989</v>
      </c>
    </row>
    <row r="392" spans="11:25">
      <c r="K392">
        <v>345</v>
      </c>
      <c r="L392">
        <f t="shared" ca="1" si="31"/>
        <v>0</v>
      </c>
      <c r="M392">
        <f t="shared" ca="1" si="33"/>
        <v>0.99999999999999989</v>
      </c>
      <c r="W392">
        <v>345</v>
      </c>
      <c r="X392">
        <f t="shared" ca="1" si="32"/>
        <v>0</v>
      </c>
      <c r="Y392">
        <f t="shared" ca="1" si="34"/>
        <v>0.99999999999999989</v>
      </c>
    </row>
    <row r="393" spans="11:25">
      <c r="K393">
        <v>346</v>
      </c>
      <c r="L393">
        <f t="shared" ca="1" si="31"/>
        <v>0</v>
      </c>
      <c r="M393">
        <f t="shared" ca="1" si="33"/>
        <v>0.99999999999999989</v>
      </c>
      <c r="W393">
        <v>346</v>
      </c>
      <c r="X393">
        <f t="shared" ca="1" si="32"/>
        <v>0</v>
      </c>
      <c r="Y393">
        <f t="shared" ca="1" si="34"/>
        <v>0.99999999999999989</v>
      </c>
    </row>
    <row r="394" spans="11:25">
      <c r="K394">
        <v>347</v>
      </c>
      <c r="L394">
        <f t="shared" ca="1" si="31"/>
        <v>0</v>
      </c>
      <c r="M394">
        <f t="shared" ca="1" si="33"/>
        <v>0.99999999999999989</v>
      </c>
      <c r="W394">
        <v>347</v>
      </c>
      <c r="X394">
        <f t="shared" ca="1" si="32"/>
        <v>0</v>
      </c>
      <c r="Y394">
        <f t="shared" ca="1" si="34"/>
        <v>0.99999999999999989</v>
      </c>
    </row>
    <row r="395" spans="11:25">
      <c r="K395">
        <v>348</v>
      </c>
      <c r="L395">
        <f t="shared" ca="1" si="31"/>
        <v>0</v>
      </c>
      <c r="M395">
        <f t="shared" ca="1" si="33"/>
        <v>0.99999999999999989</v>
      </c>
      <c r="W395">
        <v>348</v>
      </c>
      <c r="X395">
        <f t="shared" ca="1" si="32"/>
        <v>0</v>
      </c>
      <c r="Y395">
        <f t="shared" ca="1" si="34"/>
        <v>0.99999999999999989</v>
      </c>
    </row>
    <row r="396" spans="11:25">
      <c r="K396">
        <v>349</v>
      </c>
      <c r="L396">
        <f t="shared" ca="1" si="31"/>
        <v>0</v>
      </c>
      <c r="M396">
        <f t="shared" ca="1" si="33"/>
        <v>0.99999999999999989</v>
      </c>
      <c r="W396">
        <v>349</v>
      </c>
      <c r="X396">
        <f t="shared" ca="1" si="32"/>
        <v>0</v>
      </c>
      <c r="Y396">
        <f t="shared" ca="1" si="34"/>
        <v>0.99999999999999989</v>
      </c>
    </row>
    <row r="397" spans="11:25">
      <c r="K397">
        <v>350</v>
      </c>
      <c r="L397">
        <f t="shared" ca="1" si="31"/>
        <v>0</v>
      </c>
      <c r="M397">
        <f t="shared" ca="1" si="33"/>
        <v>0.99999999999999989</v>
      </c>
      <c r="W397">
        <v>350</v>
      </c>
      <c r="X397">
        <f t="shared" ca="1" si="32"/>
        <v>0</v>
      </c>
      <c r="Y397">
        <f t="shared" ca="1" si="34"/>
        <v>0.99999999999999989</v>
      </c>
    </row>
    <row r="398" spans="11:25">
      <c r="K398">
        <v>351</v>
      </c>
      <c r="L398">
        <f t="shared" ca="1" si="31"/>
        <v>0</v>
      </c>
      <c r="M398">
        <f t="shared" ca="1" si="33"/>
        <v>0.99999999999999989</v>
      </c>
      <c r="W398">
        <v>351</v>
      </c>
      <c r="X398">
        <f t="shared" ca="1" si="32"/>
        <v>0</v>
      </c>
      <c r="Y398">
        <f t="shared" ca="1" si="34"/>
        <v>0.99999999999999989</v>
      </c>
    </row>
    <row r="399" spans="11:25">
      <c r="K399">
        <v>352</v>
      </c>
      <c r="L399">
        <f t="shared" ca="1" si="31"/>
        <v>0</v>
      </c>
      <c r="M399">
        <f t="shared" ca="1" si="33"/>
        <v>0.99999999999999989</v>
      </c>
      <c r="W399">
        <v>352</v>
      </c>
      <c r="X399">
        <f t="shared" ca="1" si="32"/>
        <v>0</v>
      </c>
      <c r="Y399">
        <f t="shared" ca="1" si="34"/>
        <v>0.99999999999999989</v>
      </c>
    </row>
    <row r="400" spans="11:25">
      <c r="K400">
        <v>353</v>
      </c>
      <c r="L400">
        <f t="shared" ca="1" si="31"/>
        <v>0</v>
      </c>
      <c r="M400">
        <f t="shared" ca="1" si="33"/>
        <v>0.99999999999999989</v>
      </c>
      <c r="W400">
        <v>353</v>
      </c>
      <c r="X400">
        <f t="shared" ca="1" si="32"/>
        <v>0</v>
      </c>
      <c r="Y400">
        <f t="shared" ca="1" si="34"/>
        <v>0.99999999999999989</v>
      </c>
    </row>
    <row r="401" spans="11:25">
      <c r="K401">
        <v>354</v>
      </c>
      <c r="L401">
        <f t="shared" ca="1" si="31"/>
        <v>0</v>
      </c>
      <c r="M401">
        <f t="shared" ca="1" si="33"/>
        <v>0.99999999999999989</v>
      </c>
      <c r="W401">
        <v>354</v>
      </c>
      <c r="X401">
        <f t="shared" ca="1" si="32"/>
        <v>0</v>
      </c>
      <c r="Y401">
        <f t="shared" ca="1" si="34"/>
        <v>0.99999999999999989</v>
      </c>
    </row>
    <row r="402" spans="11:25">
      <c r="K402">
        <v>355</v>
      </c>
      <c r="L402">
        <f t="shared" ca="1" si="31"/>
        <v>0</v>
      </c>
      <c r="M402">
        <f t="shared" ca="1" si="33"/>
        <v>0.99999999999999989</v>
      </c>
      <c r="W402">
        <v>355</v>
      </c>
      <c r="X402">
        <f t="shared" ca="1" si="32"/>
        <v>0</v>
      </c>
      <c r="Y402">
        <f t="shared" ca="1" si="34"/>
        <v>0.99999999999999989</v>
      </c>
    </row>
    <row r="403" spans="11:25">
      <c r="K403">
        <v>356</v>
      </c>
      <c r="L403">
        <f t="shared" ca="1" si="31"/>
        <v>0</v>
      </c>
      <c r="M403">
        <f t="shared" ca="1" si="33"/>
        <v>0.99999999999999989</v>
      </c>
      <c r="W403">
        <v>356</v>
      </c>
      <c r="X403">
        <f t="shared" ca="1" si="32"/>
        <v>0</v>
      </c>
      <c r="Y403">
        <f t="shared" ca="1" si="34"/>
        <v>0.99999999999999989</v>
      </c>
    </row>
  </sheetData>
  <sheetProtection algorithmName="SHA-512" hashValue="RyruqlJZNrvl69rT7V4raaH9WcjgTmel2OJMse+4vJ8gNv+vP71Hu2/WGGrI41Wpz+Z9X6xVzVNdtboDbbZ5pA==" saltValue="1lt4oKaQjU7Qvx2b8VjKHA==" spinCount="100000" sheet="1" objects="1" scenarios="1"/>
  <mergeCells count="2">
    <mergeCell ref="B3:I3"/>
    <mergeCell ref="T14:U14"/>
  </mergeCells>
  <phoneticPr fontId="0" type="noConversion"/>
  <dataValidations count="2">
    <dataValidation type="list" showInputMessage="1" showErrorMessage="1" sqref="T12" xr:uid="{00000000-0002-0000-0200-000000000000}">
      <formula1>$L$4:$L$7</formula1>
    </dataValidation>
    <dataValidation type="list" allowBlank="1" showInputMessage="1" showErrorMessage="1" sqref="T14" xr:uid="{00000000-0002-0000-0200-000001000000}">
      <formula1>$R$29:$R$33</formula1>
    </dataValidation>
  </dataValidations>
  <pageMargins left="0.75" right="0.75" top="1" bottom="1" header="0.5" footer="0.5"/>
  <pageSetup orientation="landscape" r:id="rId1"/>
  <headerFooter alignWithMargins="0"/>
  <drawing r:id="rId2"/>
  <legacyDrawing r:id="rId3"/>
  <mc:AlternateContent xmlns:mc="http://schemas.openxmlformats.org/markup-compatibility/2006">
    <mc:Choice Requires="x14">
      <controls>
        <mc:AlternateContent xmlns:mc="http://schemas.openxmlformats.org/markup-compatibility/2006">
          <mc:Choice Requires="x14">
            <control shapeId="1046" r:id="rId4" name="Button 22">
              <controlPr defaultSize="0" print="0" autoFill="0" autoPict="0" macro="[0]!menu">
                <anchor moveWithCells="1" sizeWithCells="1">
                  <from>
                    <xdr:col>19</xdr:col>
                    <xdr:colOff>0</xdr:colOff>
                    <xdr:row>4</xdr:row>
                    <xdr:rowOff>0</xdr:rowOff>
                  </from>
                  <to>
                    <xdr:col>21</xdr:col>
                    <xdr:colOff>0</xdr:colOff>
                    <xdr:row>6</xdr:row>
                    <xdr:rowOff>0</xdr:rowOff>
                  </to>
                </anchor>
              </controlPr>
            </control>
          </mc:Choice>
        </mc:AlternateContent>
        <mc:AlternateContent xmlns:mc="http://schemas.openxmlformats.org/markup-compatibility/2006">
          <mc:Choice Requires="x14">
            <control shapeId="1047" r:id="rId5" name="Button 23">
              <controlPr defaultSize="0" print="0" autoFill="0" autoPict="0" macro="[0]!Sheet1.unhideprob">
                <anchor moveWithCells="1" sizeWithCells="1">
                  <from>
                    <xdr:col>16</xdr:col>
                    <xdr:colOff>0</xdr:colOff>
                    <xdr:row>14</xdr:row>
                    <xdr:rowOff>0</xdr:rowOff>
                  </from>
                  <to>
                    <xdr:col>20</xdr:col>
                    <xdr:colOff>0</xdr:colOff>
                    <xdr:row>16</xdr:row>
                    <xdr:rowOff>0</xdr:rowOff>
                  </to>
                </anchor>
              </controlPr>
            </control>
          </mc:Choice>
        </mc:AlternateContent>
        <mc:AlternateContent xmlns:mc="http://schemas.openxmlformats.org/markup-compatibility/2006">
          <mc:Choice Requires="x14">
            <control shapeId="1049" r:id="rId6" name="Button 25">
              <controlPr defaultSize="0" print="0" autoFill="0" autoPict="0" macro="[0]!Sheet1.hideprob">
                <anchor moveWithCells="1" sizeWithCells="1">
                  <from>
                    <xdr:col>2</xdr:col>
                    <xdr:colOff>0</xdr:colOff>
                    <xdr:row>0</xdr:row>
                    <xdr:rowOff>0</xdr:rowOff>
                  </from>
                  <to>
                    <xdr:col>5</xdr:col>
                    <xdr:colOff>114300</xdr:colOff>
                    <xdr:row>2</xdr:row>
                    <xdr:rowOff>0</xdr:rowOff>
                  </to>
                </anchor>
              </controlPr>
            </control>
          </mc:Choice>
        </mc:AlternateContent>
      </controls>
    </mc:Choice>
  </mc:AlternateContent>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Sheet4"/>
  <dimension ref="B1:AZ166"/>
  <sheetViews>
    <sheetView showGridLines="0" showRowColHeaders="0" zoomScaleNormal="100" workbookViewId="0">
      <pane ySplit="4" topLeftCell="A5" activePane="bottomLeft" state="frozen"/>
      <selection pane="bottomLeft" activeCell="N4" sqref="N4"/>
    </sheetView>
  </sheetViews>
  <sheetFormatPr defaultRowHeight="12.5"/>
  <cols>
    <col min="1" max="2" width="1.36328125" customWidth="1"/>
    <col min="3" max="3" width="17" customWidth="1"/>
    <col min="4" max="4" width="10" customWidth="1"/>
    <col min="5" max="5" width="8.453125" customWidth="1"/>
    <col min="6" max="6" width="1.54296875" customWidth="1"/>
    <col min="7" max="7" width="1.36328125" customWidth="1"/>
    <col min="8" max="8" width="19" customWidth="1"/>
    <col min="12" max="12" width="1.08984375" customWidth="1"/>
    <col min="13" max="13" width="0.90625" customWidth="1"/>
    <col min="14" max="14" width="9.08984375" style="239" customWidth="1"/>
    <col min="15" max="15" width="38.08984375" style="239" hidden="1" customWidth="1"/>
    <col min="16" max="16" width="17.36328125" style="239" hidden="1" customWidth="1"/>
    <col min="17" max="17" width="9.08984375" style="239" hidden="1" customWidth="1"/>
    <col min="18" max="18" width="19" style="239" hidden="1" customWidth="1"/>
    <col min="19" max="19" width="9.08984375" style="239" hidden="1" customWidth="1"/>
    <col min="20" max="20" width="15.54296875" style="239" hidden="1" customWidth="1"/>
    <col min="21" max="21" width="9.08984375" style="239" hidden="1" customWidth="1"/>
    <col min="22" max="22" width="19" style="239" hidden="1" customWidth="1"/>
    <col min="23" max="23" width="9.08984375" style="239" hidden="1" customWidth="1"/>
    <col min="24" max="24" width="17" style="239" hidden="1" customWidth="1"/>
    <col min="25" max="34" width="9.08984375" style="239" hidden="1" customWidth="1"/>
    <col min="35" max="35" width="9.08984375" hidden="1" customWidth="1"/>
    <col min="36" max="38" width="0" style="239" hidden="1" customWidth="1"/>
    <col min="39" max="40" width="10.08984375" style="239" hidden="1" customWidth="1"/>
    <col min="41" max="46" width="0" style="239" hidden="1" customWidth="1"/>
    <col min="47" max="52" width="0" hidden="1" customWidth="1"/>
  </cols>
  <sheetData>
    <row r="1" spans="2:50" ht="13.25" customHeight="1"/>
    <row r="2" spans="2:50" ht="13.25" customHeight="1">
      <c r="E2" s="22" t="s">
        <v>212</v>
      </c>
    </row>
    <row r="3" spans="2:50" ht="13.25" customHeight="1"/>
    <row r="4" spans="2:50" ht="13.25" customHeight="1"/>
    <row r="5" spans="2:50" ht="13.25" customHeight="1">
      <c r="B5" s="8"/>
      <c r="C5" s="9"/>
      <c r="D5" s="9"/>
      <c r="E5" s="9"/>
      <c r="F5" s="9"/>
      <c r="G5" s="9"/>
      <c r="H5" s="9"/>
      <c r="I5" s="9"/>
      <c r="J5" s="9"/>
      <c r="K5" s="9"/>
      <c r="L5" s="10"/>
    </row>
    <row r="6" spans="2:50" ht="13.25" customHeight="1">
      <c r="B6" s="11"/>
      <c r="C6" s="107" t="s">
        <v>227</v>
      </c>
      <c r="D6" s="12"/>
      <c r="E6" s="12"/>
      <c r="F6" s="12"/>
      <c r="G6" s="12"/>
      <c r="H6" s="12"/>
      <c r="I6" s="12"/>
      <c r="J6" s="12"/>
      <c r="K6" s="12"/>
      <c r="L6" s="13"/>
      <c r="P6" s="286" t="s">
        <v>331</v>
      </c>
      <c r="Q6" s="286"/>
      <c r="R6" s="286" t="s">
        <v>332</v>
      </c>
      <c r="S6" s="286"/>
      <c r="T6" s="286" t="s">
        <v>333</v>
      </c>
      <c r="U6" s="286"/>
      <c r="V6" s="286" t="s">
        <v>334</v>
      </c>
      <c r="W6" s="286"/>
      <c r="X6" s="286" t="s">
        <v>335</v>
      </c>
      <c r="Y6" s="286"/>
      <c r="AE6" s="239" t="s">
        <v>419</v>
      </c>
      <c r="AF6" s="239" t="s">
        <v>420</v>
      </c>
      <c r="AG6" s="239" t="s">
        <v>421</v>
      </c>
      <c r="AH6" s="239" t="s">
        <v>422</v>
      </c>
      <c r="AI6" s="239"/>
      <c r="AM6"/>
      <c r="AU6" s="239"/>
      <c r="AV6" s="239"/>
      <c r="AW6" s="239"/>
      <c r="AX6" s="239"/>
    </row>
    <row r="7" spans="2:50" ht="13.25" customHeight="1">
      <c r="B7" s="11"/>
      <c r="C7" s="12"/>
      <c r="D7" s="12"/>
      <c r="E7" s="12"/>
      <c r="F7" s="12"/>
      <c r="G7" s="12"/>
      <c r="H7" s="12"/>
      <c r="I7" s="12"/>
      <c r="J7" s="12"/>
      <c r="K7" s="12"/>
      <c r="L7" s="13"/>
      <c r="AI7" s="239"/>
      <c r="AM7"/>
      <c r="AU7" s="239"/>
      <c r="AV7" s="239"/>
      <c r="AW7" s="239"/>
      <c r="AX7" s="239"/>
    </row>
    <row r="8" spans="2:50" ht="13.25" customHeight="1">
      <c r="B8" s="11"/>
      <c r="C8" s="12" t="s">
        <v>130</v>
      </c>
      <c r="D8" s="284" t="s">
        <v>469</v>
      </c>
      <c r="E8" s="284"/>
      <c r="F8" s="284"/>
      <c r="G8" s="284"/>
      <c r="H8" s="284"/>
      <c r="I8" s="284"/>
      <c r="J8" s="284"/>
      <c r="K8" s="284"/>
      <c r="L8" s="13"/>
      <c r="P8" s="239" t="s">
        <v>183</v>
      </c>
      <c r="Q8" s="239">
        <f>R25</f>
        <v>75426</v>
      </c>
      <c r="R8" s="239" t="s">
        <v>80</v>
      </c>
      <c r="S8" s="239">
        <f>ROUND(IF(D11=0,D10*D40,D10*AE9*AF9^D11),0)</f>
        <v>64112</v>
      </c>
      <c r="T8" s="239" t="s">
        <v>184</v>
      </c>
      <c r="U8" s="239">
        <f>D26</f>
        <v>0</v>
      </c>
      <c r="V8" s="239" t="s">
        <v>80</v>
      </c>
      <c r="W8" s="239">
        <f>ROUND(IF(D26=0,D40*D27,D27*AE8*AF8^D26),0)</f>
        <v>354325</v>
      </c>
      <c r="X8" s="239" t="s">
        <v>80</v>
      </c>
      <c r="Y8" s="246">
        <v>0.85</v>
      </c>
      <c r="AD8" s="239">
        <v>1</v>
      </c>
      <c r="AE8" s="239">
        <f>VLOOKUP($AD$8,'tillage data'!$N$4:$R$17,2)</f>
        <v>0.67</v>
      </c>
      <c r="AF8" s="239">
        <f>VLOOKUP($AD$8,'tillage data'!$N$4:$R$17,3)</f>
        <v>0.94</v>
      </c>
      <c r="AG8" s="239">
        <f>VLOOKUP($AD$8,'tillage data'!$N$4:$R$17,4)</f>
        <v>7.0000000000000001E-3</v>
      </c>
      <c r="AH8" s="239">
        <f>VLOOKUP($AD$8,'tillage data'!$N$4:$R$17,5)</f>
        <v>2</v>
      </c>
      <c r="AI8" s="239"/>
      <c r="AM8"/>
      <c r="AU8" s="239"/>
      <c r="AV8" s="239"/>
      <c r="AW8" s="239"/>
      <c r="AX8" s="239"/>
    </row>
    <row r="9" spans="2:50" ht="13.25" customHeight="1">
      <c r="B9" s="11"/>
      <c r="C9" s="12"/>
      <c r="D9" s="12"/>
      <c r="E9" s="12"/>
      <c r="F9" s="158"/>
      <c r="G9" s="159" t="s">
        <v>196</v>
      </c>
      <c r="H9" s="150"/>
      <c r="I9" s="156"/>
      <c r="J9" s="150"/>
      <c r="K9" s="150"/>
      <c r="L9" s="157"/>
      <c r="P9" s="239" t="s">
        <v>184</v>
      </c>
      <c r="Q9" s="239">
        <f>D11</f>
        <v>0</v>
      </c>
      <c r="R9" s="239" t="s">
        <v>185</v>
      </c>
      <c r="S9" s="249">
        <f>D10*AE9*AF9^(D11+D16)</f>
        <v>21952.002977342036</v>
      </c>
      <c r="T9" s="239" t="s">
        <v>96</v>
      </c>
      <c r="U9" s="239">
        <f>AF25</f>
        <v>416853</v>
      </c>
      <c r="V9" s="239" t="s">
        <v>185</v>
      </c>
      <c r="W9" s="249">
        <f>D27*AE8*AF8^(D26+D29)</f>
        <v>150430.62852438679</v>
      </c>
      <c r="X9" s="239" t="s">
        <v>82</v>
      </c>
      <c r="Y9" s="250">
        <v>5.5E-2</v>
      </c>
      <c r="AD9" s="239">
        <f>AB25</f>
        <v>3</v>
      </c>
      <c r="AE9" s="239">
        <f>VLOOKUP($AD$9,'tillage data'!$N$4:$R$17,2)</f>
        <v>0.67</v>
      </c>
      <c r="AF9" s="239">
        <f>VLOOKUP($AD$9,'tillage data'!$N$4:$R$17,3)</f>
        <v>0.92</v>
      </c>
      <c r="AG9" s="239">
        <f>VLOOKUP($AD$9,'tillage data'!$N$4:$R$17,4)</f>
        <v>0.26500000000000001</v>
      </c>
      <c r="AH9" s="239">
        <f>VLOOKUP($AD$9,'tillage data'!$N$4:$R$17,5)</f>
        <v>1.4</v>
      </c>
      <c r="AI9" s="239"/>
      <c r="AM9"/>
      <c r="AU9" s="239"/>
      <c r="AV9" s="239"/>
      <c r="AW9" s="239"/>
      <c r="AX9" s="239"/>
    </row>
    <row r="10" spans="2:50" ht="13.25" customHeight="1">
      <c r="B10" s="11"/>
      <c r="C10" s="12" t="s">
        <v>183</v>
      </c>
      <c r="D10" s="154">
        <v>75426</v>
      </c>
      <c r="E10" s="12"/>
      <c r="F10" s="151"/>
      <c r="G10" s="12"/>
      <c r="H10" s="12" t="s">
        <v>80</v>
      </c>
      <c r="I10" s="154">
        <f>S8</f>
        <v>64112</v>
      </c>
      <c r="J10" s="12"/>
      <c r="K10" s="12"/>
      <c r="L10" s="13"/>
      <c r="P10" s="239" t="s">
        <v>28</v>
      </c>
      <c r="Q10" s="239">
        <f>S25</f>
        <v>6</v>
      </c>
      <c r="R10" s="239" t="s">
        <v>213</v>
      </c>
      <c r="S10" s="239">
        <f>ROUND((S12-S11)/D16,0)</f>
        <v>1213</v>
      </c>
      <c r="T10" s="239" t="s">
        <v>143</v>
      </c>
      <c r="U10" s="239">
        <f>AG25</f>
        <v>240</v>
      </c>
      <c r="V10" s="239" t="s">
        <v>213</v>
      </c>
      <c r="W10" s="239">
        <f>ROUND((W13-W12)/(D26+D29),0)</f>
        <v>2626</v>
      </c>
      <c r="X10" s="239" t="s">
        <v>84</v>
      </c>
      <c r="Y10" s="246">
        <v>0.01</v>
      </c>
      <c r="AI10" s="239"/>
      <c r="AM10"/>
      <c r="AU10" s="239"/>
      <c r="AV10" s="239"/>
      <c r="AW10" s="239"/>
      <c r="AX10" s="239"/>
    </row>
    <row r="11" spans="2:50" ht="13.25" customHeight="1">
      <c r="B11" s="11"/>
      <c r="C11" s="12" t="s">
        <v>184</v>
      </c>
      <c r="D11" s="153">
        <v>0</v>
      </c>
      <c r="E11" s="12" t="s">
        <v>193</v>
      </c>
      <c r="F11" s="151"/>
      <c r="G11" s="12"/>
      <c r="H11" s="12" t="s">
        <v>185</v>
      </c>
      <c r="I11" s="154">
        <f>S9</f>
        <v>21952.002977342036</v>
      </c>
      <c r="J11" s="12"/>
      <c r="K11" s="12"/>
      <c r="L11" s="13"/>
      <c r="P11" s="239" t="s">
        <v>47</v>
      </c>
      <c r="Q11" s="239">
        <f>T25</f>
        <v>23</v>
      </c>
      <c r="S11" s="249">
        <f>IF(D11=0,0,(D10*AG9*(D18*D11/1000)^AH9)/D11*D11)</f>
        <v>0</v>
      </c>
      <c r="T11" s="239" t="s">
        <v>186</v>
      </c>
      <c r="U11" s="239">
        <f>AH25</f>
        <v>10</v>
      </c>
      <c r="V11" s="239" t="s">
        <v>195</v>
      </c>
      <c r="W11" s="246">
        <f>ROUND(0.0438*D28,2)</f>
        <v>10.51</v>
      </c>
      <c r="AI11" s="239"/>
      <c r="AM11"/>
      <c r="AU11" s="239"/>
      <c r="AV11" s="239"/>
      <c r="AW11" s="239"/>
      <c r="AX11" s="239"/>
    </row>
    <row r="12" spans="2:50" ht="13.25" customHeight="1">
      <c r="B12" s="11"/>
      <c r="C12" s="12" t="s">
        <v>28</v>
      </c>
      <c r="D12" s="153">
        <v>6</v>
      </c>
      <c r="E12" s="12" t="s">
        <v>133</v>
      </c>
      <c r="F12" s="152"/>
      <c r="G12" s="15"/>
      <c r="H12" s="15" t="s">
        <v>213</v>
      </c>
      <c r="I12" s="177">
        <f>S10</f>
        <v>1213</v>
      </c>
      <c r="J12" s="15"/>
      <c r="K12" s="15"/>
      <c r="L12" s="16"/>
      <c r="P12" s="239" t="s">
        <v>26</v>
      </c>
      <c r="Q12" s="239">
        <f>U25</f>
        <v>0.82499999999999996</v>
      </c>
      <c r="S12" s="249">
        <f>(D10*AG9*(D18*(D11+D16)/1000)^AH9)/(D11+D16)*(D11+D16)</f>
        <v>12131.212401862267</v>
      </c>
      <c r="T12" s="239" t="s">
        <v>97</v>
      </c>
      <c r="U12" s="246">
        <v>300</v>
      </c>
      <c r="W12" s="239">
        <f>IF(D26=0,0,(D27*AG8*(D30*D26/1000)^AH8)/D26*D26)</f>
        <v>0</v>
      </c>
      <c r="AI12" s="239"/>
      <c r="AM12"/>
      <c r="AU12" s="239"/>
      <c r="AV12" s="239"/>
      <c r="AW12" s="239"/>
      <c r="AX12" s="239"/>
    </row>
    <row r="13" spans="2:50" ht="13.25" customHeight="1">
      <c r="B13" s="11"/>
      <c r="C13" s="12" t="s">
        <v>47</v>
      </c>
      <c r="D13" s="153">
        <v>23</v>
      </c>
      <c r="E13" s="12" t="s">
        <v>48</v>
      </c>
      <c r="F13" s="75"/>
      <c r="G13" s="76"/>
      <c r="H13" s="76"/>
      <c r="I13" s="76"/>
      <c r="J13" s="76"/>
      <c r="K13" s="76"/>
      <c r="L13" s="78"/>
      <c r="P13" s="239" t="s">
        <v>30</v>
      </c>
      <c r="Q13" s="239">
        <f>ROUND((X25*S25*5280*T25*U25)/43560,0)</f>
        <v>966</v>
      </c>
      <c r="T13" s="239" t="s">
        <v>93</v>
      </c>
      <c r="U13" s="246">
        <v>3.5</v>
      </c>
      <c r="W13" s="249">
        <f>(D27*AG8*(D30*(D26+D29)/1000)^AH8)/(D26+D29)*(D26+D29)</f>
        <v>26261.739000000001</v>
      </c>
      <c r="AI13" s="239"/>
      <c r="AM13"/>
      <c r="AU13" s="239"/>
      <c r="AV13" s="239"/>
      <c r="AW13" s="239"/>
      <c r="AX13" s="239"/>
    </row>
    <row r="14" spans="2:50" ht="13.25" customHeight="1">
      <c r="B14" s="11"/>
      <c r="C14" s="12" t="s">
        <v>26</v>
      </c>
      <c r="D14" s="155">
        <v>0.82499999999999996</v>
      </c>
      <c r="E14" s="12" t="s">
        <v>31</v>
      </c>
      <c r="F14" s="75"/>
      <c r="G14" s="68" t="s">
        <v>194</v>
      </c>
      <c r="H14" s="76"/>
      <c r="I14" s="76"/>
      <c r="J14" s="76"/>
      <c r="K14" s="76"/>
      <c r="L14" s="78"/>
      <c r="P14" s="239" t="s">
        <v>186</v>
      </c>
      <c r="Q14" s="239">
        <f>Z25</f>
        <v>10</v>
      </c>
      <c r="T14" s="239" t="s">
        <v>86</v>
      </c>
      <c r="U14" s="246">
        <v>0.1</v>
      </c>
      <c r="AI14" s="239"/>
      <c r="AL14"/>
      <c r="AU14" s="239"/>
      <c r="AV14" s="239"/>
      <c r="AW14" s="239"/>
    </row>
    <row r="15" spans="2:50" ht="13.25" customHeight="1">
      <c r="B15" s="11"/>
      <c r="C15" s="12" t="s">
        <v>30</v>
      </c>
      <c r="D15" s="173">
        <v>966</v>
      </c>
      <c r="E15" s="12" t="s">
        <v>88</v>
      </c>
      <c r="F15" s="75"/>
      <c r="G15" s="76"/>
      <c r="H15" s="76"/>
      <c r="I15" s="77" t="s">
        <v>103</v>
      </c>
      <c r="J15" s="77" t="s">
        <v>103</v>
      </c>
      <c r="K15" s="77" t="s">
        <v>103</v>
      </c>
      <c r="L15" s="78"/>
      <c r="T15" s="239" t="s">
        <v>89</v>
      </c>
      <c r="U15" s="246">
        <v>21</v>
      </c>
      <c r="AI15" s="239"/>
      <c r="AL15"/>
      <c r="AU15" s="239"/>
      <c r="AV15" s="239"/>
      <c r="AW15" s="239"/>
    </row>
    <row r="16" spans="2:50" ht="13.25" customHeight="1">
      <c r="B16" s="11"/>
      <c r="C16" s="12" t="s">
        <v>186</v>
      </c>
      <c r="D16" s="153">
        <v>10</v>
      </c>
      <c r="E16" s="12" t="s">
        <v>193</v>
      </c>
      <c r="F16" s="75"/>
      <c r="G16" s="79" t="s">
        <v>108</v>
      </c>
      <c r="H16" s="79"/>
      <c r="I16" s="80" t="s">
        <v>104</v>
      </c>
      <c r="J16" s="80" t="s">
        <v>106</v>
      </c>
      <c r="K16" s="80" t="s">
        <v>135</v>
      </c>
      <c r="L16" s="78"/>
      <c r="T16" s="239" t="s">
        <v>91</v>
      </c>
      <c r="U16" s="246">
        <v>1.1000000000000001</v>
      </c>
      <c r="AI16" s="239"/>
      <c r="AL16"/>
      <c r="AU16" s="239"/>
      <c r="AV16" s="239"/>
      <c r="AW16" s="239"/>
    </row>
    <row r="17" spans="2:52" ht="13.25" customHeight="1">
      <c r="B17" s="11"/>
      <c r="C17" s="12"/>
      <c r="D17" s="12"/>
      <c r="E17" s="12"/>
      <c r="F17" s="75"/>
      <c r="G17" s="76"/>
      <c r="H17" s="60" t="s">
        <v>98</v>
      </c>
      <c r="I17" s="86">
        <f>ROUND((I10-I11)/D16,0)</f>
        <v>4216</v>
      </c>
      <c r="J17" s="87">
        <f>ROUND(I17/$D$18,2)</f>
        <v>60.23</v>
      </c>
      <c r="K17" s="87">
        <f>ROUND(I17/$D$15,2)</f>
        <v>4.3600000000000003</v>
      </c>
      <c r="L17" s="78"/>
      <c r="S17" s="248"/>
    </row>
    <row r="18" spans="2:52" ht="13.25" customHeight="1">
      <c r="B18" s="11"/>
      <c r="C18" s="12" t="s">
        <v>97</v>
      </c>
      <c r="D18" s="12">
        <f>ROUND(D15/((D13*D12*5280*D14)/43560),0)</f>
        <v>70</v>
      </c>
      <c r="E18" s="12" t="s">
        <v>88</v>
      </c>
      <c r="F18" s="75"/>
      <c r="G18" s="76"/>
      <c r="H18" s="60" t="s">
        <v>99</v>
      </c>
      <c r="I18" s="81">
        <f>AO26</f>
        <v>2039.7816603077365</v>
      </c>
      <c r="J18" s="89">
        <f>ROUND(I18/$D$18,2)</f>
        <v>29.14</v>
      </c>
      <c r="K18" s="89">
        <f>ROUND(I18/$D$15,2)</f>
        <v>2.11</v>
      </c>
      <c r="L18" s="78"/>
      <c r="S18" s="248"/>
      <c r="W18" s="248"/>
    </row>
    <row r="19" spans="2:52" ht="13.25" customHeight="1">
      <c r="B19" s="11"/>
      <c r="C19" s="12" t="s">
        <v>36</v>
      </c>
      <c r="D19" s="27">
        <f>ROUND(D15/D18,1)</f>
        <v>13.8</v>
      </c>
      <c r="E19" s="12" t="s">
        <v>136</v>
      </c>
      <c r="F19" s="75"/>
      <c r="G19" s="76"/>
      <c r="H19" s="60" t="s">
        <v>84</v>
      </c>
      <c r="I19" s="251">
        <f>AR26</f>
        <v>370.86939278322478</v>
      </c>
      <c r="J19" s="89">
        <f>ROUND(I19/$D$18,2)</f>
        <v>5.3</v>
      </c>
      <c r="K19" s="89">
        <f>ROUND(I19/$D$15,2)</f>
        <v>0.38</v>
      </c>
      <c r="L19" s="78"/>
    </row>
    <row r="20" spans="2:52" ht="13.25" customHeight="1">
      <c r="B20" s="11"/>
      <c r="C20" s="12" t="s">
        <v>131</v>
      </c>
      <c r="D20" s="12">
        <f>AD23</f>
        <v>225</v>
      </c>
      <c r="E20" s="12" t="s">
        <v>134</v>
      </c>
      <c r="F20" s="75"/>
      <c r="G20" s="76"/>
      <c r="H20" s="60" t="s">
        <v>100</v>
      </c>
      <c r="I20" s="88">
        <f>I12</f>
        <v>1213</v>
      </c>
      <c r="J20" s="90">
        <f>ROUND(I20/$D$18,2)</f>
        <v>17.329999999999998</v>
      </c>
      <c r="K20" s="90">
        <f>ROUND(I20/$D$15,2)</f>
        <v>1.26</v>
      </c>
      <c r="L20" s="78"/>
      <c r="AI20" s="175"/>
    </row>
    <row r="21" spans="2:52" ht="13.25" customHeight="1">
      <c r="B21" s="11"/>
      <c r="C21" s="12"/>
      <c r="D21" s="12"/>
      <c r="E21" s="12"/>
      <c r="F21" s="75"/>
      <c r="G21" s="68" t="s">
        <v>107</v>
      </c>
      <c r="H21" s="76"/>
      <c r="I21" s="86">
        <f>SUM(I17:I20)</f>
        <v>7839.6510530909609</v>
      </c>
      <c r="J21" s="87">
        <f>SUM(J17:J20)</f>
        <v>112</v>
      </c>
      <c r="K21" s="87">
        <f>SUM(K17:K20)</f>
        <v>8.1100000000000012</v>
      </c>
      <c r="L21" s="78"/>
      <c r="AI21" s="231"/>
    </row>
    <row r="22" spans="2:52" ht="13.25" customHeight="1">
      <c r="B22" s="14"/>
      <c r="C22" s="15"/>
      <c r="D22" s="15"/>
      <c r="E22" s="15"/>
      <c r="F22" s="84"/>
      <c r="G22" s="79"/>
      <c r="H22" s="79"/>
      <c r="I22" s="79"/>
      <c r="J22" s="79"/>
      <c r="K22" s="79"/>
      <c r="L22" s="85"/>
      <c r="AI22" s="231"/>
    </row>
    <row r="23" spans="2:52" ht="13.25" customHeight="1">
      <c r="B23" s="8"/>
      <c r="C23" s="107" t="s">
        <v>226</v>
      </c>
      <c r="D23" s="12"/>
      <c r="E23" s="12"/>
      <c r="F23" s="162"/>
      <c r="G23" s="107" t="s">
        <v>197</v>
      </c>
      <c r="H23" s="12"/>
      <c r="I23" s="12"/>
      <c r="J23" s="12"/>
      <c r="K23" s="12"/>
      <c r="L23" s="10"/>
      <c r="AD23" s="239">
        <f>VLOOKUP(AA25,AD29:AG45,4)</f>
        <v>225</v>
      </c>
      <c r="AI23" s="231"/>
    </row>
    <row r="24" spans="2:52" ht="13.25" customHeight="1">
      <c r="B24" s="11"/>
      <c r="C24" s="12"/>
      <c r="D24" s="12"/>
      <c r="E24" s="12"/>
      <c r="F24" s="151"/>
      <c r="G24" s="12"/>
      <c r="H24" s="12" t="s">
        <v>80</v>
      </c>
      <c r="I24" s="154">
        <f>W8</f>
        <v>354325</v>
      </c>
      <c r="J24" s="12"/>
      <c r="K24" s="12"/>
      <c r="L24" s="13"/>
      <c r="Q24" s="239">
        <v>3</v>
      </c>
      <c r="R24" s="239">
        <v>4</v>
      </c>
      <c r="S24" s="239">
        <v>5</v>
      </c>
      <c r="T24" s="239">
        <v>6</v>
      </c>
      <c r="U24" s="239">
        <v>7</v>
      </c>
      <c r="V24" s="239">
        <v>8</v>
      </c>
      <c r="W24" s="239">
        <v>9</v>
      </c>
      <c r="X24" s="239">
        <v>10</v>
      </c>
      <c r="Y24" s="239">
        <v>11</v>
      </c>
      <c r="Z24" s="239">
        <v>12</v>
      </c>
      <c r="AA24" s="239">
        <v>13</v>
      </c>
      <c r="AB24" s="239">
        <v>14</v>
      </c>
      <c r="AF24" s="239">
        <v>2</v>
      </c>
      <c r="AG24" s="239">
        <v>3</v>
      </c>
      <c r="AH24" s="239">
        <v>4</v>
      </c>
      <c r="AI24" s="175"/>
    </row>
    <row r="25" spans="2:52" ht="13.25" customHeight="1">
      <c r="B25" s="11"/>
      <c r="C25" s="12" t="s">
        <v>95</v>
      </c>
      <c r="D25" s="284" t="s">
        <v>471</v>
      </c>
      <c r="E25" s="285"/>
      <c r="F25" s="151"/>
      <c r="G25" s="12"/>
      <c r="H25" s="12" t="s">
        <v>185</v>
      </c>
      <c r="I25" s="154">
        <f>W9</f>
        <v>150430.62852438679</v>
      </c>
      <c r="J25" s="12"/>
      <c r="K25" s="12"/>
      <c r="L25" s="13"/>
      <c r="O25" s="240" t="s">
        <v>469</v>
      </c>
      <c r="Q25" s="239" t="str">
        <f t="shared" ref="Q25:AB25" si="0">VLOOKUP($D$8,$O$28:$AB$142,Q$24,FALSE)</f>
        <v>23 ft</v>
      </c>
      <c r="R25" s="239">
        <f t="shared" si="0"/>
        <v>75426</v>
      </c>
      <c r="S25" s="239">
        <f t="shared" si="0"/>
        <v>6</v>
      </c>
      <c r="T25" s="239">
        <f t="shared" si="0"/>
        <v>23</v>
      </c>
      <c r="U25" s="239">
        <f t="shared" si="0"/>
        <v>0.82499999999999996</v>
      </c>
      <c r="V25" s="239">
        <f t="shared" si="0"/>
        <v>0.85</v>
      </c>
      <c r="W25" s="239">
        <f t="shared" si="0"/>
        <v>90</v>
      </c>
      <c r="X25" s="239">
        <f t="shared" si="0"/>
        <v>70</v>
      </c>
      <c r="Y25" s="239">
        <f t="shared" si="0"/>
        <v>125</v>
      </c>
      <c r="Z25" s="239">
        <f t="shared" si="0"/>
        <v>10</v>
      </c>
      <c r="AA25" s="239">
        <f t="shared" si="0"/>
        <v>9</v>
      </c>
      <c r="AB25" s="239">
        <f t="shared" si="0"/>
        <v>3</v>
      </c>
      <c r="AE25" s="240" t="s">
        <v>471</v>
      </c>
      <c r="AF25" s="239">
        <f>VLOOKUP($D$25,$AE$29:$AH$46,AF24,FALSE)</f>
        <v>416853</v>
      </c>
      <c r="AG25" s="239">
        <f>VLOOKUP($D$25,$AE$29:$AH$46,AG24,FALSE)</f>
        <v>240</v>
      </c>
      <c r="AH25" s="239">
        <f>VLOOKUP($D$25,$AE$29:$AH$46,AH24,FALSE)</f>
        <v>10</v>
      </c>
      <c r="AI25" s="175"/>
    </row>
    <row r="26" spans="2:52" ht="13.25" customHeight="1">
      <c r="B26" s="11"/>
      <c r="C26" s="12" t="s">
        <v>184</v>
      </c>
      <c r="D26" s="153">
        <v>0</v>
      </c>
      <c r="E26" s="12" t="s">
        <v>193</v>
      </c>
      <c r="F26" s="151"/>
      <c r="G26" s="12"/>
      <c r="H26" s="12" t="s">
        <v>213</v>
      </c>
      <c r="I26" s="154">
        <f>W10</f>
        <v>2626</v>
      </c>
      <c r="J26" s="12"/>
      <c r="K26" s="12"/>
      <c r="L26" s="13"/>
      <c r="AF26" s="241"/>
      <c r="AG26" s="241"/>
      <c r="AH26" s="241" t="s">
        <v>77</v>
      </c>
      <c r="AI26" s="175"/>
      <c r="AO26" s="249">
        <f>VLOOKUP($D$16-1,$AL$29:$AR$79,4,FALSE)</f>
        <v>2039.7816603077365</v>
      </c>
      <c r="AR26" s="249">
        <f>VLOOKUP($D$16-1,$AL$29:$AR$79,7,FALSE)</f>
        <v>370.86939278322478</v>
      </c>
      <c r="AU26" s="239"/>
      <c r="AV26" s="239"/>
      <c r="AW26" s="249">
        <f>VLOOKUP($D$29-1,$AT$29:$AZ$79,4,FALSE)</f>
        <v>12224.931938597874</v>
      </c>
      <c r="AX26" s="239"/>
      <c r="AY26" s="239"/>
      <c r="AZ26" s="249">
        <f>VLOOKUP($D$29-1,$AT$29:$AZ$79,7,FALSE)</f>
        <v>2222.7148979268859</v>
      </c>
    </row>
    <row r="27" spans="2:52" ht="13.25" customHeight="1">
      <c r="B27" s="11"/>
      <c r="C27" s="12" t="s">
        <v>96</v>
      </c>
      <c r="D27" s="154">
        <v>416853</v>
      </c>
      <c r="E27" s="12" t="s">
        <v>132</v>
      </c>
      <c r="F27" s="152"/>
      <c r="G27" s="170"/>
      <c r="H27" s="15" t="s">
        <v>195</v>
      </c>
      <c r="I27" s="171">
        <f>W11</f>
        <v>10.51</v>
      </c>
      <c r="J27" s="15"/>
      <c r="K27" s="15"/>
      <c r="L27" s="13"/>
      <c r="R27" s="241" t="s">
        <v>74</v>
      </c>
      <c r="S27" s="241"/>
      <c r="T27" s="241" t="s">
        <v>47</v>
      </c>
      <c r="U27" s="241" t="s">
        <v>118</v>
      </c>
      <c r="V27" s="241"/>
      <c r="W27" s="242" t="s">
        <v>119</v>
      </c>
      <c r="X27" s="241"/>
      <c r="Y27" s="241"/>
      <c r="Z27" s="241"/>
      <c r="AA27" s="241" t="s">
        <v>94</v>
      </c>
      <c r="AB27" s="241" t="s">
        <v>120</v>
      </c>
      <c r="AC27" s="239" t="s">
        <v>314</v>
      </c>
      <c r="AF27" s="241" t="s">
        <v>74</v>
      </c>
      <c r="AG27" s="241"/>
      <c r="AH27" s="241" t="s">
        <v>78</v>
      </c>
      <c r="AI27" s="175"/>
      <c r="AU27" s="239"/>
      <c r="AV27" s="239"/>
      <c r="AW27" s="239"/>
      <c r="AX27" s="239"/>
      <c r="AY27" s="239"/>
      <c r="AZ27" s="239"/>
    </row>
    <row r="28" spans="2:52" ht="13.25" customHeight="1">
      <c r="B28" s="11"/>
      <c r="C28" s="12" t="s">
        <v>143</v>
      </c>
      <c r="D28" s="153">
        <v>240</v>
      </c>
      <c r="E28" s="12" t="s">
        <v>198</v>
      </c>
      <c r="F28" s="75"/>
      <c r="G28" s="165" t="s">
        <v>109</v>
      </c>
      <c r="H28" s="166"/>
      <c r="I28" s="166"/>
      <c r="J28" s="166"/>
      <c r="K28" s="76"/>
      <c r="L28" s="74"/>
      <c r="P28" s="239" t="s">
        <v>110</v>
      </c>
      <c r="Q28" s="239" t="s">
        <v>146</v>
      </c>
      <c r="R28" s="241" t="s">
        <v>121</v>
      </c>
      <c r="S28" s="241" t="s">
        <v>28</v>
      </c>
      <c r="T28" s="241" t="s">
        <v>122</v>
      </c>
      <c r="U28" s="241" t="s">
        <v>123</v>
      </c>
      <c r="V28" s="241" t="s">
        <v>124</v>
      </c>
      <c r="W28" s="241" t="s">
        <v>125</v>
      </c>
      <c r="X28" s="241" t="s">
        <v>126</v>
      </c>
      <c r="Y28" s="241" t="s">
        <v>127</v>
      </c>
      <c r="Z28" s="241" t="s">
        <v>128</v>
      </c>
      <c r="AA28" s="241" t="s">
        <v>129</v>
      </c>
      <c r="AB28" s="241" t="s">
        <v>129</v>
      </c>
      <c r="AC28" s="239" t="s">
        <v>315</v>
      </c>
      <c r="AE28" s="239" t="s">
        <v>73</v>
      </c>
      <c r="AF28" s="241" t="s">
        <v>75</v>
      </c>
      <c r="AG28" s="241" t="s">
        <v>76</v>
      </c>
      <c r="AH28" s="241" t="s">
        <v>79</v>
      </c>
      <c r="AI28" s="175"/>
      <c r="AM28" s="286" t="s">
        <v>425</v>
      </c>
      <c r="AN28" s="286"/>
      <c r="AO28" s="286"/>
      <c r="AP28" s="286" t="s">
        <v>426</v>
      </c>
      <c r="AQ28" s="286"/>
      <c r="AR28" s="286"/>
      <c r="AU28" s="286" t="s">
        <v>427</v>
      </c>
      <c r="AV28" s="286"/>
      <c r="AW28" s="286"/>
      <c r="AX28" s="286" t="s">
        <v>428</v>
      </c>
      <c r="AY28" s="286"/>
      <c r="AZ28" s="286"/>
    </row>
    <row r="29" spans="2:52" ht="13.25" customHeight="1">
      <c r="B29" s="11"/>
      <c r="C29" s="12" t="s">
        <v>186</v>
      </c>
      <c r="D29" s="153">
        <v>10</v>
      </c>
      <c r="E29" s="12" t="s">
        <v>193</v>
      </c>
      <c r="F29" s="75"/>
      <c r="G29" s="60"/>
      <c r="H29" s="60"/>
      <c r="I29" s="61" t="s">
        <v>103</v>
      </c>
      <c r="J29" s="61" t="s">
        <v>105</v>
      </c>
      <c r="K29" s="76"/>
      <c r="L29" s="78"/>
      <c r="O29" s="239" t="str">
        <f>'tillage data'!T4</f>
        <v>Chisel plow - 12 ft</v>
      </c>
      <c r="P29" s="239" t="str">
        <f>'tillage data'!U4</f>
        <v>Chisel plow</v>
      </c>
      <c r="Q29" s="239" t="str">
        <f>'tillage data'!V4</f>
        <v>12 ft</v>
      </c>
      <c r="R29" s="239">
        <f>'tillage data'!W4</f>
        <v>31812</v>
      </c>
      <c r="S29" s="239">
        <f>'tillage data'!X4</f>
        <v>6</v>
      </c>
      <c r="T29" s="239">
        <f>'tillage data'!Y4</f>
        <v>12</v>
      </c>
      <c r="U29" s="239">
        <f>'tillage data'!Z4</f>
        <v>0.82499999999999996</v>
      </c>
      <c r="V29" s="239">
        <f>'tillage data'!AA4</f>
        <v>0.85</v>
      </c>
      <c r="W29" s="239">
        <f>'tillage data'!AB4</f>
        <v>90</v>
      </c>
      <c r="X29" s="239">
        <f>'tillage data'!AC4</f>
        <v>70</v>
      </c>
      <c r="Y29" s="239">
        <f>'tillage data'!AD4</f>
        <v>125</v>
      </c>
      <c r="Z29" s="239">
        <f>'tillage data'!AE4</f>
        <v>10</v>
      </c>
      <c r="AA29" s="239">
        <f>'tillage data'!AF4</f>
        <v>4</v>
      </c>
      <c r="AB29" s="239">
        <f>'tillage data'!AG4</f>
        <v>3</v>
      </c>
      <c r="AC29" s="239">
        <v>175</v>
      </c>
      <c r="AD29" s="239">
        <v>1</v>
      </c>
      <c r="AE29" s="243" t="str">
        <f>CONCATENATE(AG29," PTO Hp Tractor")</f>
        <v>85 PTO Hp Tractor</v>
      </c>
      <c r="AF29" s="244">
        <v>196739</v>
      </c>
      <c r="AG29" s="244">
        <v>85</v>
      </c>
      <c r="AH29" s="244">
        <v>10</v>
      </c>
      <c r="AI29" s="239">
        <v>1</v>
      </c>
      <c r="AL29" s="239">
        <v>0</v>
      </c>
      <c r="AM29" s="249">
        <f>D10*D40*D41</f>
        <v>3526.1655000000001</v>
      </c>
      <c r="AN29" s="249">
        <f>AM29</f>
        <v>3526.1655000000001</v>
      </c>
      <c r="AO29" s="249">
        <f>AN29/$D$16</f>
        <v>352.61655000000002</v>
      </c>
      <c r="AP29" s="249">
        <f>D10*D40*D42</f>
        <v>641.12099999999998</v>
      </c>
      <c r="AQ29" s="249">
        <f>AP29</f>
        <v>641.12099999999998</v>
      </c>
      <c r="AR29" s="249">
        <f>AQ29/$D$16</f>
        <v>64.112099999999998</v>
      </c>
      <c r="AT29" s="239">
        <v>0</v>
      </c>
      <c r="AU29" s="249">
        <f>D27*D40*D41</f>
        <v>19487.87775</v>
      </c>
      <c r="AV29" s="249">
        <f>AU29</f>
        <v>19487.87775</v>
      </c>
      <c r="AW29" s="249">
        <f>AV29/$D$29</f>
        <v>1948.787775</v>
      </c>
      <c r="AX29" s="249">
        <f>D27*D40*D42</f>
        <v>3543.2505000000001</v>
      </c>
      <c r="AY29" s="249">
        <f>AX29</f>
        <v>3543.2505000000001</v>
      </c>
      <c r="AZ29" s="249">
        <f>AY29/$D$29</f>
        <v>354.32505000000003</v>
      </c>
    </row>
    <row r="30" spans="2:52" ht="13.25" customHeight="1">
      <c r="B30" s="11"/>
      <c r="C30" s="12" t="s">
        <v>97</v>
      </c>
      <c r="D30" s="153">
        <v>300</v>
      </c>
      <c r="E30" s="12" t="s">
        <v>88</v>
      </c>
      <c r="F30" s="75"/>
      <c r="G30" s="62" t="s">
        <v>108</v>
      </c>
      <c r="H30" s="62"/>
      <c r="I30" s="63" t="s">
        <v>104</v>
      </c>
      <c r="J30" s="63" t="s">
        <v>106</v>
      </c>
      <c r="K30" s="76"/>
      <c r="L30" s="78"/>
      <c r="O30" s="239" t="str">
        <f>'tillage data'!T5</f>
        <v>Chisel plow - 15 ft</v>
      </c>
      <c r="P30" s="239" t="str">
        <f>'tillage data'!U5</f>
        <v>Chisel plow</v>
      </c>
      <c r="Q30" s="239" t="str">
        <f>'tillage data'!V5</f>
        <v>15 ft</v>
      </c>
      <c r="R30" s="239">
        <f>'tillage data'!W5</f>
        <v>34456</v>
      </c>
      <c r="S30" s="239">
        <f>'tillage data'!X5</f>
        <v>6</v>
      </c>
      <c r="T30" s="239">
        <f>'tillage data'!Y5</f>
        <v>15</v>
      </c>
      <c r="U30" s="239">
        <f>'tillage data'!Z5</f>
        <v>0.82499999999999996</v>
      </c>
      <c r="V30" s="239">
        <f>'tillage data'!AA5</f>
        <v>0.85</v>
      </c>
      <c r="W30" s="239">
        <f>'tillage data'!AB5</f>
        <v>90</v>
      </c>
      <c r="X30" s="239">
        <f>'tillage data'!AC5</f>
        <v>70</v>
      </c>
      <c r="Y30" s="239">
        <f>'tillage data'!AD5</f>
        <v>125</v>
      </c>
      <c r="Z30" s="239">
        <f>'tillage data'!AE5</f>
        <v>10</v>
      </c>
      <c r="AA30" s="239">
        <f>'tillage data'!AF5</f>
        <v>6</v>
      </c>
      <c r="AB30" s="239">
        <f>'tillage data'!AG5</f>
        <v>3</v>
      </c>
      <c r="AC30" s="239">
        <v>205</v>
      </c>
      <c r="AD30" s="239">
        <v>2</v>
      </c>
      <c r="AE30" s="243" t="str">
        <f t="shared" ref="AE30:AE45" si="1">CONCATENATE(AG30," PTO Hp Tractor")</f>
        <v>95 PTO Hp Tractor</v>
      </c>
      <c r="AF30" s="244">
        <v>205451</v>
      </c>
      <c r="AG30" s="244">
        <v>95</v>
      </c>
      <c r="AH30" s="244">
        <v>10</v>
      </c>
      <c r="AI30" s="239">
        <v>2</v>
      </c>
      <c r="AL30" s="239">
        <v>1</v>
      </c>
      <c r="AM30" s="249">
        <f>$D$10*$AE$9*$AF$9^($D$11+AL30)*$D$41</f>
        <v>2557.0922520000004</v>
      </c>
      <c r="AN30" s="249">
        <f>AN29+AM30</f>
        <v>6083.2577520000004</v>
      </c>
      <c r="AO30" s="249">
        <f t="shared" ref="AO30:AO79" si="2">AN30/$D$16</f>
        <v>608.32577520000007</v>
      </c>
      <c r="AP30" s="249">
        <f>$D$10*$AE$9*$AF$9^($D$11+AL30)*$D$42</f>
        <v>464.9258640000001</v>
      </c>
      <c r="AQ30" s="249">
        <f>AQ29+AP30</f>
        <v>1106.0468640000001</v>
      </c>
      <c r="AR30" s="249">
        <f t="shared" ref="AR30:AR79" si="3">AQ30/$D$16</f>
        <v>110.60468640000002</v>
      </c>
      <c r="AT30" s="239">
        <v>1</v>
      </c>
      <c r="AU30" s="249">
        <f>$D$27*$AE$8*$AF$8^($D$26+AT30)*$D$41</f>
        <v>14439.371067</v>
      </c>
      <c r="AV30" s="249">
        <f>AV29+AU30</f>
        <v>33927.248817</v>
      </c>
      <c r="AW30" s="249">
        <f t="shared" ref="AW30:AW79" si="4">AV30/$D$29</f>
        <v>3392.7248817</v>
      </c>
      <c r="AX30" s="249">
        <f>$D$27*$AE$8*$AF$8^($D$26+AT30)*$D$42</f>
        <v>2625.3401939999999</v>
      </c>
      <c r="AY30" s="249">
        <f>AY29+AX30</f>
        <v>6168.5906940000004</v>
      </c>
      <c r="AZ30" s="249">
        <f t="shared" ref="AZ30:AZ79" si="5">AY30/$D$29</f>
        <v>616.85906940000007</v>
      </c>
    </row>
    <row r="31" spans="2:52" ht="13.25" customHeight="1">
      <c r="B31" s="11"/>
      <c r="C31" s="12" t="s">
        <v>93</v>
      </c>
      <c r="D31" s="163">
        <v>3.5</v>
      </c>
      <c r="E31" s="12" t="s">
        <v>189</v>
      </c>
      <c r="F31" s="75"/>
      <c r="G31" s="60"/>
      <c r="H31" s="60" t="s">
        <v>98</v>
      </c>
      <c r="I31" s="64">
        <f>IF(D29=0,0,ROUND((I24-I25)/D29,0))</f>
        <v>20389</v>
      </c>
      <c r="J31" s="65">
        <f t="shared" ref="J31:J36" si="6">ROUND(I31/$D$30,2)</f>
        <v>67.959999999999994</v>
      </c>
      <c r="K31" s="76"/>
      <c r="L31" s="78"/>
      <c r="O31" s="239" t="str">
        <f>'tillage data'!T6</f>
        <v>Chisel plow - 21 ft</v>
      </c>
      <c r="P31" s="239" t="str">
        <f>'tillage data'!U6</f>
        <v>Chisel plow</v>
      </c>
      <c r="Q31" s="239" t="str">
        <f>'tillage data'!V6</f>
        <v>21 ft</v>
      </c>
      <c r="R31" s="239">
        <f>'tillage data'!W6</f>
        <v>64286</v>
      </c>
      <c r="S31" s="239">
        <f>'tillage data'!X6</f>
        <v>6</v>
      </c>
      <c r="T31" s="239">
        <f>'tillage data'!Y6</f>
        <v>21</v>
      </c>
      <c r="U31" s="239">
        <f>'tillage data'!Z6</f>
        <v>0.82499999999999996</v>
      </c>
      <c r="V31" s="239">
        <f>'tillage data'!AA6</f>
        <v>0.85</v>
      </c>
      <c r="W31" s="239">
        <f>'tillage data'!AB6</f>
        <v>90</v>
      </c>
      <c r="X31" s="239">
        <f>'tillage data'!AC6</f>
        <v>70</v>
      </c>
      <c r="Y31" s="239">
        <f>'tillage data'!AD6</f>
        <v>125</v>
      </c>
      <c r="Z31" s="239">
        <f>'tillage data'!AE6</f>
        <v>10</v>
      </c>
      <c r="AA31" s="239">
        <f>'tillage data'!AF6</f>
        <v>8</v>
      </c>
      <c r="AB31" s="239">
        <f>'tillage data'!AG6</f>
        <v>3</v>
      </c>
      <c r="AC31" s="239">
        <v>260</v>
      </c>
      <c r="AD31" s="239">
        <v>3</v>
      </c>
      <c r="AE31" s="243" t="str">
        <f t="shared" si="1"/>
        <v>110 PTO Hp Tractor</v>
      </c>
      <c r="AF31" s="244">
        <v>250231</v>
      </c>
      <c r="AG31" s="244">
        <v>110</v>
      </c>
      <c r="AH31" s="244">
        <v>10</v>
      </c>
      <c r="AI31" s="239">
        <v>3</v>
      </c>
      <c r="AL31" s="239">
        <v>2</v>
      </c>
      <c r="AM31" s="249">
        <f t="shared" ref="AM31:AM79" si="7">$D$10*$AE$9*$AF$9^($D$11+AL31)*$D$41</f>
        <v>2352.5248718400003</v>
      </c>
      <c r="AN31" s="249">
        <f t="shared" ref="AN31:AN39" si="8">AN30+AM31</f>
        <v>8435.7826238400012</v>
      </c>
      <c r="AO31" s="249">
        <f t="shared" si="2"/>
        <v>843.57826238400014</v>
      </c>
      <c r="AP31" s="249">
        <f t="shared" ref="AP31:AP39" si="9">$D$10*$AE$9*$AF$9^($D$11+AL31)*$D$42</f>
        <v>427.73179488000011</v>
      </c>
      <c r="AQ31" s="249">
        <f t="shared" ref="AQ31:AQ39" si="10">AQ30+AP31</f>
        <v>1533.7786588800002</v>
      </c>
      <c r="AR31" s="249">
        <f t="shared" si="3"/>
        <v>153.37786588800003</v>
      </c>
      <c r="AT31" s="239">
        <v>2</v>
      </c>
      <c r="AU31" s="249">
        <f t="shared" ref="AU31:AU79" si="11">$D$27*$AE$8*$AF$8^($D$26+AT31)*$D$41</f>
        <v>13573.008802979999</v>
      </c>
      <c r="AV31" s="249">
        <f t="shared" ref="AV31:AV79" si="12">AV30+AU31</f>
        <v>47500.257619979995</v>
      </c>
      <c r="AW31" s="249">
        <f t="shared" si="4"/>
        <v>4750.0257619979993</v>
      </c>
      <c r="AX31" s="249">
        <f t="shared" ref="AX31:AX79" si="13">$D$27*$AE$8*$AF$8^($D$26+AT31)*$D$42</f>
        <v>2467.8197823599999</v>
      </c>
      <c r="AY31" s="249">
        <f t="shared" ref="AY31:AY79" si="14">AY30+AX31</f>
        <v>8636.4104763600008</v>
      </c>
      <c r="AZ31" s="249">
        <f t="shared" si="5"/>
        <v>863.64104763600005</v>
      </c>
    </row>
    <row r="32" spans="2:52" ht="13.25" customHeight="1">
      <c r="B32" s="11"/>
      <c r="C32" s="59" t="s">
        <v>86</v>
      </c>
      <c r="D32" s="164">
        <v>0.1</v>
      </c>
      <c r="E32" s="12" t="s">
        <v>190</v>
      </c>
      <c r="F32" s="75"/>
      <c r="G32" s="60"/>
      <c r="H32" s="60" t="s">
        <v>99</v>
      </c>
      <c r="I32" s="66">
        <f>AW26</f>
        <v>12224.931938597874</v>
      </c>
      <c r="J32" s="65">
        <f t="shared" si="6"/>
        <v>40.75</v>
      </c>
      <c r="K32" s="76"/>
      <c r="L32" s="78"/>
      <c r="O32" s="239" t="str">
        <f>'tillage data'!T7</f>
        <v>Chisel plow - 23 ft</v>
      </c>
      <c r="P32" s="239" t="str">
        <f>'tillage data'!U7</f>
        <v>Chisel plow</v>
      </c>
      <c r="Q32" s="239" t="str">
        <f>'tillage data'!V7</f>
        <v>23 ft</v>
      </c>
      <c r="R32" s="239">
        <f>'tillage data'!W7</f>
        <v>75426</v>
      </c>
      <c r="S32" s="239">
        <f>'tillage data'!X7</f>
        <v>6</v>
      </c>
      <c r="T32" s="239">
        <f>'tillage data'!Y7</f>
        <v>23</v>
      </c>
      <c r="U32" s="239">
        <f>'tillage data'!Z7</f>
        <v>0.82499999999999996</v>
      </c>
      <c r="V32" s="239">
        <f>'tillage data'!AA7</f>
        <v>0.85</v>
      </c>
      <c r="W32" s="239">
        <f>'tillage data'!AB7</f>
        <v>90</v>
      </c>
      <c r="X32" s="239">
        <f>'tillage data'!AC7</f>
        <v>70</v>
      </c>
      <c r="Y32" s="239">
        <f>'tillage data'!AD7</f>
        <v>125</v>
      </c>
      <c r="Z32" s="239">
        <f>'tillage data'!AE7</f>
        <v>10</v>
      </c>
      <c r="AA32" s="239">
        <f>'tillage data'!AF7</f>
        <v>9</v>
      </c>
      <c r="AB32" s="239">
        <f>'tillage data'!AG7</f>
        <v>3</v>
      </c>
      <c r="AC32" s="239">
        <v>285</v>
      </c>
      <c r="AD32" s="239">
        <v>4</v>
      </c>
      <c r="AE32" s="243" t="str">
        <f t="shared" si="1"/>
        <v>120 PTO Hp Tractor</v>
      </c>
      <c r="AF32" s="244">
        <v>257854</v>
      </c>
      <c r="AG32" s="244">
        <v>120</v>
      </c>
      <c r="AH32" s="244">
        <v>10</v>
      </c>
      <c r="AI32" s="239">
        <v>4</v>
      </c>
      <c r="AL32" s="239">
        <v>3</v>
      </c>
      <c r="AM32" s="249">
        <f t="shared" si="7"/>
        <v>2164.3228820928007</v>
      </c>
      <c r="AN32" s="249">
        <f t="shared" si="8"/>
        <v>10600.105505932803</v>
      </c>
      <c r="AO32" s="249">
        <f t="shared" si="2"/>
        <v>1060.0105505932802</v>
      </c>
      <c r="AP32" s="249">
        <f t="shared" si="9"/>
        <v>393.51325128960008</v>
      </c>
      <c r="AQ32" s="249">
        <f t="shared" si="10"/>
        <v>1927.2919101696002</v>
      </c>
      <c r="AR32" s="249">
        <f t="shared" si="3"/>
        <v>192.72919101696002</v>
      </c>
      <c r="AT32" s="239">
        <v>3</v>
      </c>
      <c r="AU32" s="249">
        <f t="shared" si="11"/>
        <v>12758.628274801198</v>
      </c>
      <c r="AV32" s="249">
        <f t="shared" si="12"/>
        <v>60258.885894781197</v>
      </c>
      <c r="AW32" s="249">
        <f t="shared" si="4"/>
        <v>6025.8885894781197</v>
      </c>
      <c r="AX32" s="249">
        <f t="shared" si="13"/>
        <v>2319.7505954183998</v>
      </c>
      <c r="AY32" s="249">
        <f t="shared" si="14"/>
        <v>10956.161071778401</v>
      </c>
      <c r="AZ32" s="249">
        <f t="shared" si="5"/>
        <v>1095.6161071778401</v>
      </c>
    </row>
    <row r="33" spans="2:52" ht="13.25" customHeight="1">
      <c r="B33" s="11"/>
      <c r="C33" s="57" t="s">
        <v>89</v>
      </c>
      <c r="D33" s="163">
        <v>21</v>
      </c>
      <c r="E33" s="12" t="s">
        <v>214</v>
      </c>
      <c r="F33" s="75"/>
      <c r="G33" s="60"/>
      <c r="H33" s="60" t="s">
        <v>84</v>
      </c>
      <c r="I33" s="66">
        <f>AZ26</f>
        <v>2222.7148979268859</v>
      </c>
      <c r="J33" s="65">
        <f t="shared" si="6"/>
        <v>7.41</v>
      </c>
      <c r="K33" s="76"/>
      <c r="L33" s="78"/>
      <c r="O33" s="239" t="str">
        <f>'tillage data'!T8</f>
        <v>Chisel plow - 27 ft.</v>
      </c>
      <c r="P33" s="239" t="str">
        <f>'tillage data'!U8</f>
        <v>Chisel plow</v>
      </c>
      <c r="Q33" s="239" t="str">
        <f>'tillage data'!V8</f>
        <v>27 ft.</v>
      </c>
      <c r="R33" s="239">
        <f>'tillage data'!W8</f>
        <v>81344</v>
      </c>
      <c r="S33" s="239">
        <f>'tillage data'!X8</f>
        <v>6</v>
      </c>
      <c r="T33" s="239">
        <f>'tillage data'!Y8</f>
        <v>27</v>
      </c>
      <c r="U33" s="239">
        <f>'tillage data'!Z8</f>
        <v>0.82499999999999996</v>
      </c>
      <c r="V33" s="239">
        <f>'tillage data'!AA8</f>
        <v>0.85</v>
      </c>
      <c r="W33" s="239">
        <f>'tillage data'!AB8</f>
        <v>90</v>
      </c>
      <c r="X33" s="239">
        <f>'tillage data'!AC8</f>
        <v>70</v>
      </c>
      <c r="Y33" s="239">
        <f>'tillage data'!AD8</f>
        <v>125</v>
      </c>
      <c r="Z33" s="239">
        <f>'tillage data'!AE8</f>
        <v>10</v>
      </c>
      <c r="AA33" s="239">
        <f>'tillage data'!AF8</f>
        <v>11</v>
      </c>
      <c r="AB33" s="239">
        <f>'tillage data'!AG8</f>
        <v>3</v>
      </c>
      <c r="AC33" s="239">
        <v>205</v>
      </c>
      <c r="AD33" s="239">
        <v>5</v>
      </c>
      <c r="AE33" s="243" t="str">
        <f t="shared" si="1"/>
        <v>140 PTO Hp Tractor</v>
      </c>
      <c r="AF33" s="244">
        <v>282644</v>
      </c>
      <c r="AG33" s="244">
        <v>140</v>
      </c>
      <c r="AH33" s="244">
        <v>10</v>
      </c>
      <c r="AI33" s="239">
        <v>5</v>
      </c>
      <c r="AL33" s="239">
        <v>4</v>
      </c>
      <c r="AM33" s="249">
        <f t="shared" si="7"/>
        <v>1991.1770515253766</v>
      </c>
      <c r="AN33" s="249">
        <f t="shared" si="8"/>
        <v>12591.28255745818</v>
      </c>
      <c r="AO33" s="249">
        <f t="shared" si="2"/>
        <v>1259.128255745818</v>
      </c>
      <c r="AP33" s="249">
        <f t="shared" si="9"/>
        <v>362.0321911864321</v>
      </c>
      <c r="AQ33" s="249">
        <f t="shared" si="10"/>
        <v>2289.3241013560323</v>
      </c>
      <c r="AR33" s="249">
        <f t="shared" si="3"/>
        <v>228.93241013560322</v>
      </c>
      <c r="AT33" s="239">
        <v>4</v>
      </c>
      <c r="AU33" s="249">
        <f t="shared" si="11"/>
        <v>11993.110578313126</v>
      </c>
      <c r="AV33" s="249">
        <f t="shared" si="12"/>
        <v>72251.996473094317</v>
      </c>
      <c r="AW33" s="249">
        <f t="shared" si="4"/>
        <v>7225.1996473094314</v>
      </c>
      <c r="AX33" s="249">
        <f t="shared" si="13"/>
        <v>2180.5655596932957</v>
      </c>
      <c r="AY33" s="249">
        <f t="shared" si="14"/>
        <v>13136.726631471696</v>
      </c>
      <c r="AZ33" s="249">
        <f t="shared" si="5"/>
        <v>1313.6726631471697</v>
      </c>
    </row>
    <row r="34" spans="2:52" ht="13.25" customHeight="1">
      <c r="B34" s="11"/>
      <c r="C34" s="59" t="s">
        <v>91</v>
      </c>
      <c r="D34" s="164">
        <v>1.1000000000000001</v>
      </c>
      <c r="E34" s="12" t="s">
        <v>192</v>
      </c>
      <c r="F34" s="75"/>
      <c r="G34" s="60"/>
      <c r="H34" s="60" t="s">
        <v>100</v>
      </c>
      <c r="I34" s="66">
        <f>I26</f>
        <v>2626</v>
      </c>
      <c r="J34" s="65">
        <f t="shared" si="6"/>
        <v>8.75</v>
      </c>
      <c r="K34" s="76"/>
      <c r="L34" s="78"/>
      <c r="O34" s="239" t="str">
        <f>'tillage data'!T9</f>
        <v>Chisel plow - 30 ft.</v>
      </c>
      <c r="P34" s="239" t="str">
        <f>'tillage data'!U9</f>
        <v>Chisel plow</v>
      </c>
      <c r="Q34" s="239" t="str">
        <f>'tillage data'!V9</f>
        <v>30 ft.</v>
      </c>
      <c r="R34" s="239">
        <f>'tillage data'!W9</f>
        <v>86858</v>
      </c>
      <c r="S34" s="239">
        <f>'tillage data'!X9</f>
        <v>6</v>
      </c>
      <c r="T34" s="239">
        <f>'tillage data'!Y9</f>
        <v>30</v>
      </c>
      <c r="U34" s="239">
        <f>'tillage data'!Z9</f>
        <v>0.82499999999999996</v>
      </c>
      <c r="V34" s="239">
        <f>'tillage data'!AA9</f>
        <v>0.85</v>
      </c>
      <c r="W34" s="239">
        <f>'tillage data'!AB9</f>
        <v>90</v>
      </c>
      <c r="X34" s="239">
        <f>'tillage data'!AC9</f>
        <v>70</v>
      </c>
      <c r="Y34" s="239">
        <f>'tillage data'!AD9</f>
        <v>125</v>
      </c>
      <c r="Z34" s="239">
        <f>'tillage data'!AE9</f>
        <v>10</v>
      </c>
      <c r="AA34" s="239">
        <f>'tillage data'!AF9</f>
        <v>12</v>
      </c>
      <c r="AB34" s="239">
        <f>'tillage data'!AG9</f>
        <v>3</v>
      </c>
      <c r="AC34" s="239">
        <v>225</v>
      </c>
      <c r="AD34" s="239">
        <v>6</v>
      </c>
      <c r="AE34" s="243" t="str">
        <f t="shared" si="1"/>
        <v>155 PTO Hp Tractor</v>
      </c>
      <c r="AF34" s="244">
        <v>297566</v>
      </c>
      <c r="AG34" s="244">
        <v>155</v>
      </c>
      <c r="AH34" s="244">
        <v>10</v>
      </c>
      <c r="AI34" s="239">
        <v>6</v>
      </c>
      <c r="AL34" s="239">
        <v>5</v>
      </c>
      <c r="AM34" s="249">
        <f t="shared" si="7"/>
        <v>1831.8828874033463</v>
      </c>
      <c r="AN34" s="249">
        <f t="shared" si="8"/>
        <v>14423.165444861526</v>
      </c>
      <c r="AO34" s="249">
        <f t="shared" si="2"/>
        <v>1442.3165444861527</v>
      </c>
      <c r="AP34" s="249">
        <f t="shared" si="9"/>
        <v>333.06961589151751</v>
      </c>
      <c r="AQ34" s="249">
        <f t="shared" si="10"/>
        <v>2622.3937172475498</v>
      </c>
      <c r="AR34" s="249">
        <f t="shared" si="3"/>
        <v>262.23937172475496</v>
      </c>
      <c r="AT34" s="239">
        <v>5</v>
      </c>
      <c r="AU34" s="249">
        <f t="shared" si="11"/>
        <v>11273.523943614338</v>
      </c>
      <c r="AV34" s="249">
        <f t="shared" si="12"/>
        <v>83525.520416708663</v>
      </c>
      <c r="AW34" s="249">
        <f t="shared" si="4"/>
        <v>8352.5520416708659</v>
      </c>
      <c r="AX34" s="249">
        <f t="shared" si="13"/>
        <v>2049.731626111698</v>
      </c>
      <c r="AY34" s="249">
        <f t="shared" si="14"/>
        <v>15186.458257583394</v>
      </c>
      <c r="AZ34" s="249">
        <f t="shared" si="5"/>
        <v>1518.6458257583395</v>
      </c>
    </row>
    <row r="35" spans="2:52" ht="13.25" customHeight="1">
      <c r="B35" s="11"/>
      <c r="C35" s="12"/>
      <c r="D35" s="12"/>
      <c r="E35" s="12" t="s">
        <v>191</v>
      </c>
      <c r="F35" s="75"/>
      <c r="G35" s="60"/>
      <c r="H35" s="60" t="s">
        <v>101</v>
      </c>
      <c r="I35" s="66">
        <f>ROUND(I27*D30*D31*(1+D32),0)</f>
        <v>12139</v>
      </c>
      <c r="J35" s="65">
        <f t="shared" si="6"/>
        <v>40.46</v>
      </c>
      <c r="K35" s="76"/>
      <c r="L35" s="78"/>
      <c r="O35" s="239" t="str">
        <f>'tillage data'!T10</f>
        <v>Chisel plow - 35 ft.</v>
      </c>
      <c r="P35" s="239" t="str">
        <f>'tillage data'!U10</f>
        <v>Chisel plow</v>
      </c>
      <c r="Q35" s="239" t="str">
        <f>'tillage data'!V10</f>
        <v>35 ft.</v>
      </c>
      <c r="R35" s="239">
        <f>'tillage data'!W10</f>
        <v>92301</v>
      </c>
      <c r="S35" s="239">
        <f>'tillage data'!X10</f>
        <v>6</v>
      </c>
      <c r="T35" s="239">
        <f>'tillage data'!Y10</f>
        <v>35</v>
      </c>
      <c r="U35" s="239">
        <f>'tillage data'!Z10</f>
        <v>0.82499999999999996</v>
      </c>
      <c r="V35" s="239">
        <f>'tillage data'!AA10</f>
        <v>0.85</v>
      </c>
      <c r="W35" s="239">
        <f>'tillage data'!AB10</f>
        <v>90</v>
      </c>
      <c r="X35" s="239">
        <f>'tillage data'!AC10</f>
        <v>70</v>
      </c>
      <c r="Y35" s="239">
        <f>'tillage data'!AD10</f>
        <v>125</v>
      </c>
      <c r="Z35" s="239">
        <f>'tillage data'!AE10</f>
        <v>10</v>
      </c>
      <c r="AA35" s="239">
        <f>'tillage data'!AF10</f>
        <v>13</v>
      </c>
      <c r="AB35" s="239">
        <f>'tillage data'!AG10</f>
        <v>3</v>
      </c>
      <c r="AC35" s="239">
        <v>260</v>
      </c>
      <c r="AD35" s="239">
        <v>7</v>
      </c>
      <c r="AE35" s="243" t="str">
        <f t="shared" si="1"/>
        <v>175 PTO Hp Tractor</v>
      </c>
      <c r="AF35" s="244">
        <v>312432</v>
      </c>
      <c r="AG35" s="244">
        <v>175</v>
      </c>
      <c r="AH35" s="244">
        <v>10</v>
      </c>
      <c r="AI35" s="239">
        <v>7</v>
      </c>
      <c r="AL35" s="239">
        <v>6</v>
      </c>
      <c r="AM35" s="249">
        <f t="shared" si="7"/>
        <v>1685.3322564110788</v>
      </c>
      <c r="AN35" s="249">
        <f t="shared" si="8"/>
        <v>16108.497701272605</v>
      </c>
      <c r="AO35" s="249">
        <f t="shared" si="2"/>
        <v>1610.8497701272604</v>
      </c>
      <c r="AP35" s="249">
        <f t="shared" si="9"/>
        <v>306.42404662019612</v>
      </c>
      <c r="AQ35" s="249">
        <f t="shared" si="10"/>
        <v>2928.8177638677462</v>
      </c>
      <c r="AR35" s="249">
        <f t="shared" si="3"/>
        <v>292.88177638677462</v>
      </c>
      <c r="AT35" s="239">
        <v>6</v>
      </c>
      <c r="AU35" s="249">
        <f t="shared" si="11"/>
        <v>10597.112506997481</v>
      </c>
      <c r="AV35" s="249">
        <f t="shared" si="12"/>
        <v>94122.632923706144</v>
      </c>
      <c r="AW35" s="249">
        <f t="shared" si="4"/>
        <v>9412.2632923706151</v>
      </c>
      <c r="AX35" s="249">
        <f t="shared" si="13"/>
        <v>1926.7477285449963</v>
      </c>
      <c r="AY35" s="249">
        <f t="shared" si="14"/>
        <v>17113.205986128389</v>
      </c>
      <c r="AZ35" s="249">
        <f t="shared" si="5"/>
        <v>1711.3205986128389</v>
      </c>
    </row>
    <row r="36" spans="2:52" ht="13.25" customHeight="1">
      <c r="B36" s="11"/>
      <c r="C36" s="12"/>
      <c r="D36" s="12"/>
      <c r="E36" s="12"/>
      <c r="F36" s="75"/>
      <c r="G36" s="60"/>
      <c r="H36" s="60" t="s">
        <v>102</v>
      </c>
      <c r="I36" s="67">
        <f>D30*D34*D33</f>
        <v>6930</v>
      </c>
      <c r="J36" s="167">
        <f t="shared" si="6"/>
        <v>23.1</v>
      </c>
      <c r="K36" s="76"/>
      <c r="L36" s="78"/>
      <c r="O36" s="239" t="str">
        <f>'tillage data'!T11</f>
        <v>Chisel plow - 40 ft.</v>
      </c>
      <c r="P36" s="239" t="str">
        <f>'tillage data'!U11</f>
        <v>Chisel plow</v>
      </c>
      <c r="Q36" s="239" t="str">
        <f>'tillage data'!V11</f>
        <v>40 ft.</v>
      </c>
      <c r="R36" s="239">
        <f>'tillage data'!W11</f>
        <v>95294</v>
      </c>
      <c r="S36" s="239">
        <f>'tillage data'!X11</f>
        <v>6</v>
      </c>
      <c r="T36" s="239">
        <f>'tillage data'!Y11</f>
        <v>40</v>
      </c>
      <c r="U36" s="239">
        <f>'tillage data'!Z11</f>
        <v>0.82499999999999996</v>
      </c>
      <c r="V36" s="239">
        <f>'tillage data'!AA11</f>
        <v>0.85</v>
      </c>
      <c r="W36" s="239">
        <f>'tillage data'!AB11</f>
        <v>90</v>
      </c>
      <c r="X36" s="239">
        <f>'tillage data'!AC11</f>
        <v>70</v>
      </c>
      <c r="Y36" s="239">
        <f>'tillage data'!AD11</f>
        <v>125</v>
      </c>
      <c r="Z36" s="239">
        <f>'tillage data'!AE11</f>
        <v>10</v>
      </c>
      <c r="AA36" s="239">
        <f>'tillage data'!AF11</f>
        <v>14</v>
      </c>
      <c r="AB36" s="239">
        <f>'tillage data'!AG11</f>
        <v>3</v>
      </c>
      <c r="AC36" s="239">
        <v>285</v>
      </c>
      <c r="AD36" s="239">
        <v>8</v>
      </c>
      <c r="AE36" s="243" t="str">
        <f t="shared" si="1"/>
        <v>205 PTO Hp Tractor</v>
      </c>
      <c r="AF36" s="244">
        <v>386456</v>
      </c>
      <c r="AG36" s="244">
        <v>205</v>
      </c>
      <c r="AH36" s="244">
        <v>10</v>
      </c>
      <c r="AI36" s="239">
        <v>8</v>
      </c>
      <c r="AL36" s="239">
        <v>7</v>
      </c>
      <c r="AM36" s="249">
        <f t="shared" si="7"/>
        <v>1550.5056758981925</v>
      </c>
      <c r="AN36" s="249">
        <f t="shared" si="8"/>
        <v>17659.003377170797</v>
      </c>
      <c r="AO36" s="249">
        <f t="shared" si="2"/>
        <v>1765.9003377170798</v>
      </c>
      <c r="AP36" s="249">
        <f t="shared" si="9"/>
        <v>281.91012289058045</v>
      </c>
      <c r="AQ36" s="249">
        <f t="shared" si="10"/>
        <v>3210.7278867583268</v>
      </c>
      <c r="AR36" s="249">
        <f t="shared" si="3"/>
        <v>321.07278867583267</v>
      </c>
      <c r="AT36" s="239">
        <v>7</v>
      </c>
      <c r="AU36" s="249">
        <f t="shared" si="11"/>
        <v>9961.2857565776285</v>
      </c>
      <c r="AV36" s="249">
        <f t="shared" si="12"/>
        <v>104083.91868028376</v>
      </c>
      <c r="AW36" s="249">
        <f t="shared" si="4"/>
        <v>10408.391868028377</v>
      </c>
      <c r="AX36" s="249">
        <f t="shared" si="13"/>
        <v>1811.142864832296</v>
      </c>
      <c r="AY36" s="249">
        <f t="shared" si="14"/>
        <v>18924.348850960683</v>
      </c>
      <c r="AZ36" s="249">
        <f t="shared" si="5"/>
        <v>1892.4348850960682</v>
      </c>
    </row>
    <row r="37" spans="2:52" ht="13.25" customHeight="1">
      <c r="B37" s="14"/>
      <c r="C37" s="15"/>
      <c r="D37" s="15"/>
      <c r="E37" s="15"/>
      <c r="F37" s="84"/>
      <c r="G37" s="168" t="s">
        <v>107</v>
      </c>
      <c r="H37" s="62"/>
      <c r="I37" s="169">
        <f>SUM(I31:I36)</f>
        <v>56531.646836524757</v>
      </c>
      <c r="J37" s="167">
        <f>SUM(J31:J36)</f>
        <v>188.42999999999998</v>
      </c>
      <c r="K37" s="79"/>
      <c r="L37" s="85"/>
      <c r="O37" s="239" t="str">
        <f>'tillage data'!T12</f>
        <v>Chisel plow - 44 ft.</v>
      </c>
      <c r="P37" s="239" t="str">
        <f>'tillage data'!U12</f>
        <v>Chisel plow</v>
      </c>
      <c r="Q37" s="239" t="str">
        <f>'tillage data'!V12</f>
        <v>44 ft.</v>
      </c>
      <c r="R37" s="239">
        <f>'tillage data'!W12</f>
        <v>131584</v>
      </c>
      <c r="S37" s="239">
        <f>'tillage data'!X12</f>
        <v>6</v>
      </c>
      <c r="T37" s="239">
        <f>'tillage data'!Y12</f>
        <v>44</v>
      </c>
      <c r="U37" s="239">
        <f>'tillage data'!Z12</f>
        <v>0.82499999999999996</v>
      </c>
      <c r="V37" s="239">
        <f>'tillage data'!AA12</f>
        <v>0.85</v>
      </c>
      <c r="W37" s="239">
        <f>'tillage data'!AB12</f>
        <v>90</v>
      </c>
      <c r="X37" s="239">
        <f>'tillage data'!AC12</f>
        <v>70</v>
      </c>
      <c r="Y37" s="239">
        <f>'tillage data'!AD12</f>
        <v>125</v>
      </c>
      <c r="Z37" s="239">
        <f>'tillage data'!AE12</f>
        <v>10</v>
      </c>
      <c r="AA37" s="239">
        <f>'tillage data'!AF12</f>
        <v>15</v>
      </c>
      <c r="AB37" s="239">
        <f>'tillage data'!AG12</f>
        <v>3</v>
      </c>
      <c r="AC37" s="239">
        <v>310</v>
      </c>
      <c r="AD37" s="239">
        <v>9</v>
      </c>
      <c r="AE37" s="243" t="str">
        <f t="shared" si="1"/>
        <v>225 PTO Hp Tractor</v>
      </c>
      <c r="AF37" s="244">
        <v>401654</v>
      </c>
      <c r="AG37" s="244">
        <v>225</v>
      </c>
      <c r="AH37" s="244">
        <v>10</v>
      </c>
      <c r="AI37" s="239">
        <v>9</v>
      </c>
      <c r="AL37" s="239">
        <v>8</v>
      </c>
      <c r="AM37" s="249">
        <f t="shared" si="7"/>
        <v>1426.4652218263373</v>
      </c>
      <c r="AN37" s="249">
        <f t="shared" si="8"/>
        <v>19085.468598997133</v>
      </c>
      <c r="AO37" s="249">
        <f t="shared" si="2"/>
        <v>1908.5468598997134</v>
      </c>
      <c r="AP37" s="249">
        <f t="shared" si="9"/>
        <v>259.35731305933405</v>
      </c>
      <c r="AQ37" s="249">
        <f t="shared" si="10"/>
        <v>3470.0851998176609</v>
      </c>
      <c r="AR37" s="249">
        <f t="shared" si="3"/>
        <v>347.00851998176609</v>
      </c>
      <c r="AT37" s="239">
        <v>8</v>
      </c>
      <c r="AU37" s="249">
        <f t="shared" si="11"/>
        <v>9363.6086111829718</v>
      </c>
      <c r="AV37" s="249">
        <f t="shared" si="12"/>
        <v>113447.52729146674</v>
      </c>
      <c r="AW37" s="249">
        <f t="shared" si="4"/>
        <v>11344.752729146674</v>
      </c>
      <c r="AX37" s="249">
        <f t="shared" si="13"/>
        <v>1702.4742929423587</v>
      </c>
      <c r="AY37" s="249">
        <f t="shared" si="14"/>
        <v>20626.823143903042</v>
      </c>
      <c r="AZ37" s="249">
        <f t="shared" si="5"/>
        <v>2062.6823143903043</v>
      </c>
    </row>
    <row r="38" spans="2:52" ht="13.25" customHeight="1">
      <c r="B38" s="8"/>
      <c r="C38" s="172" t="s">
        <v>228</v>
      </c>
      <c r="D38" s="9"/>
      <c r="E38" s="10"/>
      <c r="F38" s="72"/>
      <c r="G38" s="160" t="s">
        <v>199</v>
      </c>
      <c r="H38" s="161"/>
      <c r="I38" s="161"/>
      <c r="J38" s="161"/>
      <c r="K38" s="73"/>
      <c r="L38" s="74"/>
      <c r="O38" s="239" t="str">
        <f>'tillage data'!T13</f>
        <v>Chisel plow - 47 ft.</v>
      </c>
      <c r="P38" s="239" t="str">
        <f>'tillage data'!U13</f>
        <v>Chisel plow</v>
      </c>
      <c r="Q38" s="239" t="str">
        <f>'tillage data'!V13</f>
        <v>47 ft.</v>
      </c>
      <c r="R38" s="239">
        <f>'tillage data'!W13</f>
        <v>138250</v>
      </c>
      <c r="S38" s="239">
        <f>'tillage data'!X13</f>
        <v>6</v>
      </c>
      <c r="T38" s="239">
        <f>'tillage data'!Y13</f>
        <v>47</v>
      </c>
      <c r="U38" s="239">
        <f>'tillage data'!Z13</f>
        <v>0.82499999999999996</v>
      </c>
      <c r="V38" s="239">
        <f>'tillage data'!AA13</f>
        <v>0.85</v>
      </c>
      <c r="W38" s="239">
        <f>'tillage data'!AB13</f>
        <v>90</v>
      </c>
      <c r="X38" s="239">
        <f>'tillage data'!AC13</f>
        <v>70</v>
      </c>
      <c r="Y38" s="239">
        <f>'tillage data'!AD13</f>
        <v>125</v>
      </c>
      <c r="Z38" s="239">
        <f>'tillage data'!AE13</f>
        <v>10</v>
      </c>
      <c r="AA38" s="239">
        <f>'tillage data'!AF13</f>
        <v>15</v>
      </c>
      <c r="AB38" s="239">
        <f>'tillage data'!AG13</f>
        <v>3</v>
      </c>
      <c r="AC38" s="239">
        <v>390</v>
      </c>
      <c r="AD38" s="239">
        <v>10</v>
      </c>
      <c r="AE38" s="243" t="str">
        <f t="shared" si="1"/>
        <v>240 PTO Hp Tractor</v>
      </c>
      <c r="AF38" s="244">
        <v>416853</v>
      </c>
      <c r="AG38" s="244">
        <v>240</v>
      </c>
      <c r="AH38" s="244">
        <v>10</v>
      </c>
      <c r="AI38" s="239">
        <v>10</v>
      </c>
      <c r="AL38" s="239">
        <v>9</v>
      </c>
      <c r="AM38" s="249">
        <f t="shared" si="7"/>
        <v>1312.3480040802303</v>
      </c>
      <c r="AN38" s="249">
        <f t="shared" si="8"/>
        <v>20397.816603077365</v>
      </c>
      <c r="AO38" s="249">
        <f t="shared" si="2"/>
        <v>2039.7816603077365</v>
      </c>
      <c r="AP38" s="249">
        <f t="shared" si="9"/>
        <v>238.60872801458731</v>
      </c>
      <c r="AQ38" s="249">
        <f t="shared" si="10"/>
        <v>3708.6939278322479</v>
      </c>
      <c r="AR38" s="249">
        <f t="shared" si="3"/>
        <v>370.86939278322478</v>
      </c>
      <c r="AT38" s="239">
        <v>9</v>
      </c>
      <c r="AU38" s="249">
        <f t="shared" si="11"/>
        <v>8801.7920945119931</v>
      </c>
      <c r="AV38" s="249">
        <f t="shared" si="12"/>
        <v>122249.31938597874</v>
      </c>
      <c r="AW38" s="249">
        <f t="shared" si="4"/>
        <v>12224.931938597874</v>
      </c>
      <c r="AX38" s="249">
        <f t="shared" si="13"/>
        <v>1600.3258353658168</v>
      </c>
      <c r="AY38" s="249">
        <f t="shared" si="14"/>
        <v>22227.148979268859</v>
      </c>
      <c r="AZ38" s="249">
        <f t="shared" si="5"/>
        <v>2222.7148979268859</v>
      </c>
    </row>
    <row r="39" spans="2:52" ht="13.25" customHeight="1">
      <c r="B39" s="11"/>
      <c r="C39" s="12"/>
      <c r="D39" s="12"/>
      <c r="E39" s="13"/>
      <c r="F39" s="75"/>
      <c r="G39" s="76"/>
      <c r="H39" s="76"/>
      <c r="I39" s="77" t="s">
        <v>103</v>
      </c>
      <c r="J39" s="77" t="s">
        <v>103</v>
      </c>
      <c r="K39" s="77" t="s">
        <v>103</v>
      </c>
      <c r="L39" s="78"/>
      <c r="O39" s="239" t="str">
        <f>'tillage data'!T14</f>
        <v>Chisel plow - 55 ft.</v>
      </c>
      <c r="P39" s="239" t="str">
        <f>'tillage data'!U14</f>
        <v>Chisel plow</v>
      </c>
      <c r="Q39" s="239" t="str">
        <f>'tillage data'!V14</f>
        <v>55 ft.</v>
      </c>
      <c r="R39" s="239">
        <f>'tillage data'!W14</f>
        <v>148898</v>
      </c>
      <c r="S39" s="239">
        <f>'tillage data'!X14</f>
        <v>6</v>
      </c>
      <c r="T39" s="239">
        <f>'tillage data'!Y14</f>
        <v>55</v>
      </c>
      <c r="U39" s="239">
        <f>'tillage data'!Z14</f>
        <v>0.82499999999999996</v>
      </c>
      <c r="V39" s="239">
        <f>'tillage data'!AA14</f>
        <v>0.85</v>
      </c>
      <c r="W39" s="239">
        <f>'tillage data'!AB14</f>
        <v>90</v>
      </c>
      <c r="X39" s="239">
        <f>'tillage data'!AC14</f>
        <v>70</v>
      </c>
      <c r="Y39" s="239">
        <f>'tillage data'!AD14</f>
        <v>125</v>
      </c>
      <c r="Z39" s="239">
        <f>'tillage data'!AE14</f>
        <v>10</v>
      </c>
      <c r="AA39" s="239">
        <f>'tillage data'!AF14</f>
        <v>16</v>
      </c>
      <c r="AB39" s="239">
        <f>'tillage data'!AG14</f>
        <v>3</v>
      </c>
      <c r="AC39" s="239">
        <v>440</v>
      </c>
      <c r="AD39" s="239">
        <v>11</v>
      </c>
      <c r="AE39" s="243" t="str">
        <f t="shared" si="1"/>
        <v>260 PTO Hp Tractor</v>
      </c>
      <c r="AF39" s="244">
        <v>528259</v>
      </c>
      <c r="AG39" s="244">
        <v>260</v>
      </c>
      <c r="AH39" s="244">
        <v>10</v>
      </c>
      <c r="AI39" s="239">
        <v>11</v>
      </c>
      <c r="AL39" s="239">
        <v>10</v>
      </c>
      <c r="AM39" s="249">
        <f t="shared" si="7"/>
        <v>1207.360163753812</v>
      </c>
      <c r="AN39" s="249">
        <f t="shared" si="8"/>
        <v>21605.176766831177</v>
      </c>
      <c r="AO39" s="249">
        <f t="shared" si="2"/>
        <v>2160.5176766831178</v>
      </c>
      <c r="AP39" s="249">
        <f t="shared" si="9"/>
        <v>219.52002977342036</v>
      </c>
      <c r="AQ39" s="249">
        <f t="shared" si="10"/>
        <v>3928.2139576056684</v>
      </c>
      <c r="AR39" s="249">
        <f t="shared" si="3"/>
        <v>392.82139576056682</v>
      </c>
      <c r="AT39" s="239">
        <v>10</v>
      </c>
      <c r="AU39" s="249">
        <f t="shared" si="11"/>
        <v>8273.6845688412741</v>
      </c>
      <c r="AV39" s="249">
        <f t="shared" si="12"/>
        <v>130523.00395482001</v>
      </c>
      <c r="AW39" s="249">
        <f t="shared" si="4"/>
        <v>13052.300395482001</v>
      </c>
      <c r="AX39" s="249">
        <f t="shared" si="13"/>
        <v>1504.3062852438679</v>
      </c>
      <c r="AY39" s="249">
        <f t="shared" si="14"/>
        <v>23731.455264512726</v>
      </c>
      <c r="AZ39" s="249">
        <f t="shared" si="5"/>
        <v>2373.1455264512724</v>
      </c>
    </row>
    <row r="40" spans="2:52" ht="13.25" customHeight="1">
      <c r="B40" s="11"/>
      <c r="C40" s="12" t="s">
        <v>80</v>
      </c>
      <c r="D40" s="26">
        <v>0.85</v>
      </c>
      <c r="E40" s="58" t="s">
        <v>187</v>
      </c>
      <c r="F40" s="75"/>
      <c r="G40" s="79" t="s">
        <v>108</v>
      </c>
      <c r="H40" s="79"/>
      <c r="I40" s="80" t="s">
        <v>104</v>
      </c>
      <c r="J40" s="80" t="s">
        <v>106</v>
      </c>
      <c r="K40" s="80" t="s">
        <v>135</v>
      </c>
      <c r="L40" s="78"/>
      <c r="O40" s="239" t="str">
        <f>'tillage data'!T15</f>
        <v>Chisel plow - 61 ft.</v>
      </c>
      <c r="P40" s="239" t="str">
        <f>'tillage data'!U15</f>
        <v>Chisel plow</v>
      </c>
      <c r="Q40" s="239" t="str">
        <f>'tillage data'!V15</f>
        <v>61 ft.</v>
      </c>
      <c r="R40" s="239">
        <f>'tillage data'!W15</f>
        <v>161427</v>
      </c>
      <c r="S40" s="239">
        <f>'tillage data'!X15</f>
        <v>6</v>
      </c>
      <c r="T40" s="239">
        <f>'tillage data'!Y15</f>
        <v>61</v>
      </c>
      <c r="U40" s="239">
        <f>'tillage data'!Z15</f>
        <v>0.82499999999999996</v>
      </c>
      <c r="V40" s="239">
        <f>'tillage data'!AA15</f>
        <v>0.85</v>
      </c>
      <c r="W40" s="239">
        <f>'tillage data'!AB15</f>
        <v>90</v>
      </c>
      <c r="X40" s="239">
        <f>'tillage data'!AC15</f>
        <v>70</v>
      </c>
      <c r="Y40" s="239">
        <f>'tillage data'!AD15</f>
        <v>125</v>
      </c>
      <c r="Z40" s="239">
        <f>'tillage data'!AE15</f>
        <v>10</v>
      </c>
      <c r="AA40" s="239">
        <f>'tillage data'!AF15</f>
        <v>17</v>
      </c>
      <c r="AB40" s="239">
        <f>'tillage data'!AG15</f>
        <v>3</v>
      </c>
      <c r="AC40" s="239">
        <v>440</v>
      </c>
      <c r="AD40" s="239">
        <v>12</v>
      </c>
      <c r="AE40" s="243" t="str">
        <f t="shared" si="1"/>
        <v>285 PTO Hp Tractor</v>
      </c>
      <c r="AF40" s="244">
        <v>548201</v>
      </c>
      <c r="AG40" s="244">
        <v>285</v>
      </c>
      <c r="AH40" s="244">
        <v>10</v>
      </c>
      <c r="AI40" s="239">
        <v>12</v>
      </c>
      <c r="AL40" s="239">
        <v>11</v>
      </c>
      <c r="AM40" s="249">
        <f t="shared" si="7"/>
        <v>1110.7713506535069</v>
      </c>
      <c r="AN40" s="249">
        <f t="shared" ref="AN40:AN62" si="15">AN39+AM40</f>
        <v>22715.948117484684</v>
      </c>
      <c r="AO40" s="249">
        <f t="shared" si="2"/>
        <v>2271.5948117484686</v>
      </c>
      <c r="AP40" s="249">
        <f t="shared" ref="AP40:AP62" si="16">$D$10*$AE$9*$AF$9^($D$11+AL40)*$D$42</f>
        <v>201.95842739154673</v>
      </c>
      <c r="AQ40" s="249">
        <f t="shared" ref="AQ40:AQ62" si="17">AQ39+AP40</f>
        <v>4130.172384997215</v>
      </c>
      <c r="AR40" s="249">
        <f t="shared" si="3"/>
        <v>413.01723849972149</v>
      </c>
      <c r="AT40" s="239">
        <v>11</v>
      </c>
      <c r="AU40" s="249">
        <f t="shared" si="11"/>
        <v>7777.2634947107963</v>
      </c>
      <c r="AV40" s="249">
        <f t="shared" si="12"/>
        <v>138300.2674495308</v>
      </c>
      <c r="AW40" s="249">
        <f t="shared" si="4"/>
        <v>13830.02674495308</v>
      </c>
      <c r="AX40" s="249">
        <f t="shared" si="13"/>
        <v>1414.0479081292358</v>
      </c>
      <c r="AY40" s="249">
        <f t="shared" si="14"/>
        <v>25145.503172641962</v>
      </c>
      <c r="AZ40" s="249">
        <f t="shared" si="5"/>
        <v>2514.5503172641961</v>
      </c>
    </row>
    <row r="41" spans="2:52" ht="13.25" customHeight="1">
      <c r="B41" s="11"/>
      <c r="C41" s="12" t="s">
        <v>82</v>
      </c>
      <c r="D41" s="69">
        <v>5.5E-2</v>
      </c>
      <c r="E41" s="13" t="s">
        <v>188</v>
      </c>
      <c r="F41" s="75"/>
      <c r="G41" s="60"/>
      <c r="H41" s="60" t="s">
        <v>98</v>
      </c>
      <c r="I41" s="64">
        <f>ROUND(I17+($D$18/$D$30)*I31,0)</f>
        <v>8973</v>
      </c>
      <c r="J41" s="65">
        <f>J17+J31</f>
        <v>128.19</v>
      </c>
      <c r="K41" s="87">
        <f t="shared" ref="K41:K46" si="18">ROUND(I41/$D$15,2)</f>
        <v>9.2899999999999991</v>
      </c>
      <c r="L41" s="78"/>
      <c r="O41" s="239" t="str">
        <f>'tillage data'!T16</f>
        <v>Disk Ripper (disk, chisel, rolling basket) - 12 ft</v>
      </c>
      <c r="P41" s="239" t="str">
        <f>'tillage data'!U16</f>
        <v>Disk Ripper (disk, chisel, rolling basket)</v>
      </c>
      <c r="Q41" s="239" t="str">
        <f>'tillage data'!V16</f>
        <v>12 ft</v>
      </c>
      <c r="R41" s="239">
        <f>'tillage data'!W16</f>
        <v>66657</v>
      </c>
      <c r="S41" s="239">
        <f>'tillage data'!X16</f>
        <v>6</v>
      </c>
      <c r="T41" s="239">
        <f>'tillage data'!Y16</f>
        <v>12</v>
      </c>
      <c r="U41" s="239">
        <f>'tillage data'!Z16</f>
        <v>0.82499999999999996</v>
      </c>
      <c r="V41" s="239">
        <f>'tillage data'!AA16</f>
        <v>0.85</v>
      </c>
      <c r="W41" s="239">
        <f>'tillage data'!AB16</f>
        <v>90</v>
      </c>
      <c r="X41" s="239">
        <f>'tillage data'!AC16</f>
        <v>70</v>
      </c>
      <c r="Y41" s="239">
        <f>'tillage data'!AD16</f>
        <v>125</v>
      </c>
      <c r="Z41" s="239">
        <f>'tillage data'!AE16</f>
        <v>10</v>
      </c>
      <c r="AA41" s="239">
        <f>'tillage data'!AF16</f>
        <v>8</v>
      </c>
      <c r="AB41" s="239">
        <f>'tillage data'!AG16</f>
        <v>14</v>
      </c>
      <c r="AC41" s="239">
        <v>490</v>
      </c>
      <c r="AD41" s="239">
        <v>13</v>
      </c>
      <c r="AE41" s="243" t="str">
        <f t="shared" si="1"/>
        <v>310 PTO Hp Tractor</v>
      </c>
      <c r="AF41" s="244">
        <v>579945</v>
      </c>
      <c r="AG41" s="244">
        <v>310</v>
      </c>
      <c r="AH41" s="244">
        <v>10</v>
      </c>
      <c r="AI41" s="239">
        <v>13</v>
      </c>
      <c r="AL41" s="239">
        <v>12</v>
      </c>
      <c r="AM41" s="249">
        <f t="shared" si="7"/>
        <v>1021.9096426012264</v>
      </c>
      <c r="AN41" s="249">
        <f t="shared" si="15"/>
        <v>23737.85776008591</v>
      </c>
      <c r="AO41" s="249">
        <f t="shared" si="2"/>
        <v>2373.7857760085908</v>
      </c>
      <c r="AP41" s="249">
        <f t="shared" si="16"/>
        <v>185.801753200223</v>
      </c>
      <c r="AQ41" s="249">
        <f t="shared" si="17"/>
        <v>4315.9741381974382</v>
      </c>
      <c r="AR41" s="249">
        <f t="shared" si="3"/>
        <v>431.59741381974379</v>
      </c>
      <c r="AT41" s="239">
        <v>12</v>
      </c>
      <c r="AU41" s="249">
        <f t="shared" si="11"/>
        <v>7310.6276850281492</v>
      </c>
      <c r="AV41" s="249">
        <f t="shared" si="12"/>
        <v>145610.89513455896</v>
      </c>
      <c r="AW41" s="249">
        <f t="shared" si="4"/>
        <v>14561.089513455896</v>
      </c>
      <c r="AX41" s="249">
        <f t="shared" si="13"/>
        <v>1329.2050336414818</v>
      </c>
      <c r="AY41" s="249">
        <f t="shared" si="14"/>
        <v>26474.708206283445</v>
      </c>
      <c r="AZ41" s="249">
        <f t="shared" si="5"/>
        <v>2647.4708206283444</v>
      </c>
    </row>
    <row r="42" spans="2:52" ht="13.25" customHeight="1">
      <c r="B42" s="11"/>
      <c r="C42" s="12" t="s">
        <v>84</v>
      </c>
      <c r="D42" s="69">
        <v>0.01</v>
      </c>
      <c r="E42" s="13" t="s">
        <v>188</v>
      </c>
      <c r="F42" s="75"/>
      <c r="G42" s="60"/>
      <c r="H42" s="60" t="s">
        <v>99</v>
      </c>
      <c r="I42" s="64">
        <f>ROUND(I18+($D$18/$D$30)*I32,0)</f>
        <v>4892</v>
      </c>
      <c r="J42" s="65">
        <f>J18+J32</f>
        <v>69.89</v>
      </c>
      <c r="K42" s="82">
        <f t="shared" si="18"/>
        <v>5.0599999999999996</v>
      </c>
      <c r="L42" s="78"/>
      <c r="O42" s="239" t="str">
        <f>'tillage data'!T17</f>
        <v>Disk Ripper (disk, chisel, rolling basket) - 17 Ft</v>
      </c>
      <c r="P42" s="239" t="str">
        <f>'tillage data'!U17</f>
        <v>Disk Ripper (disk, chisel, rolling basket)</v>
      </c>
      <c r="Q42" s="239" t="str">
        <f>'tillage data'!V17</f>
        <v>17 Ft</v>
      </c>
      <c r="R42" s="239">
        <f>'tillage data'!W17</f>
        <v>84998</v>
      </c>
      <c r="S42" s="239">
        <f>'tillage data'!X17</f>
        <v>6</v>
      </c>
      <c r="T42" s="239">
        <f>'tillage data'!Y17</f>
        <v>17</v>
      </c>
      <c r="U42" s="239">
        <f>'tillage data'!Z17</f>
        <v>0.82499999999999996</v>
      </c>
      <c r="V42" s="239">
        <f>'tillage data'!AA17</f>
        <v>0.85</v>
      </c>
      <c r="W42" s="239">
        <f>'tillage data'!AB17</f>
        <v>90</v>
      </c>
      <c r="X42" s="239">
        <f>'tillage data'!AC17</f>
        <v>70</v>
      </c>
      <c r="Y42" s="239">
        <f>'tillage data'!AD17</f>
        <v>125</v>
      </c>
      <c r="Z42" s="239">
        <f>'tillage data'!AE17</f>
        <v>10</v>
      </c>
      <c r="AA42" s="239">
        <f>'tillage data'!AF17</f>
        <v>13</v>
      </c>
      <c r="AB42" s="239">
        <f>'tillage data'!AG17</f>
        <v>14</v>
      </c>
      <c r="AC42" s="239">
        <v>590</v>
      </c>
      <c r="AD42" s="239">
        <v>14</v>
      </c>
      <c r="AE42" s="243" t="str">
        <f t="shared" si="1"/>
        <v>390 PTO Hp Tractor</v>
      </c>
      <c r="AF42" s="244">
        <v>520995</v>
      </c>
      <c r="AG42" s="244">
        <v>390</v>
      </c>
      <c r="AH42" s="244">
        <v>10</v>
      </c>
      <c r="AI42" s="239">
        <v>14</v>
      </c>
      <c r="AL42" s="239">
        <v>13</v>
      </c>
      <c r="AM42" s="249">
        <f t="shared" si="7"/>
        <v>940.1568711931285</v>
      </c>
      <c r="AN42" s="249">
        <f t="shared" si="15"/>
        <v>24678.014631279038</v>
      </c>
      <c r="AO42" s="249">
        <f t="shared" si="2"/>
        <v>2467.8014631279038</v>
      </c>
      <c r="AP42" s="249">
        <f t="shared" si="16"/>
        <v>170.93761294420517</v>
      </c>
      <c r="AQ42" s="249">
        <f t="shared" si="17"/>
        <v>4486.9117511416434</v>
      </c>
      <c r="AR42" s="249">
        <f t="shared" si="3"/>
        <v>448.69117511416437</v>
      </c>
      <c r="AT42" s="239">
        <v>13</v>
      </c>
      <c r="AU42" s="249">
        <f t="shared" si="11"/>
        <v>6871.9900239264598</v>
      </c>
      <c r="AV42" s="249">
        <f t="shared" si="12"/>
        <v>152482.88515848541</v>
      </c>
      <c r="AW42" s="249">
        <f t="shared" si="4"/>
        <v>15248.288515848541</v>
      </c>
      <c r="AX42" s="249">
        <f t="shared" si="13"/>
        <v>1249.4527316229928</v>
      </c>
      <c r="AY42" s="249">
        <f t="shared" si="14"/>
        <v>27724.160937906439</v>
      </c>
      <c r="AZ42" s="249">
        <f t="shared" si="5"/>
        <v>2772.416093790644</v>
      </c>
    </row>
    <row r="43" spans="2:52" ht="13.25" customHeight="1">
      <c r="B43" s="11"/>
      <c r="C43" s="12"/>
      <c r="D43" s="12"/>
      <c r="E43" s="13"/>
      <c r="F43" s="75"/>
      <c r="G43" s="60"/>
      <c r="H43" s="60" t="s">
        <v>84</v>
      </c>
      <c r="I43" s="64">
        <f>ROUND(I19+($D$18/$D$30)*I33,0)</f>
        <v>890</v>
      </c>
      <c r="J43" s="65">
        <f>J19+J33</f>
        <v>12.71</v>
      </c>
      <c r="K43" s="82">
        <f t="shared" si="18"/>
        <v>0.92</v>
      </c>
      <c r="L43" s="78"/>
      <c r="O43" s="239" t="str">
        <f>'tillage data'!T18</f>
        <v>Disk Ripper (disk, chisel, rolling basket) - 22 Ft</v>
      </c>
      <c r="P43" s="239" t="str">
        <f>'tillage data'!U18</f>
        <v>Disk Ripper (disk, chisel, rolling basket)</v>
      </c>
      <c r="Q43" s="239" t="str">
        <f>'tillage data'!V18</f>
        <v>22 Ft</v>
      </c>
      <c r="R43" s="239">
        <f>'tillage data'!W18</f>
        <v>133407</v>
      </c>
      <c r="S43" s="239">
        <f>'tillage data'!X18</f>
        <v>6</v>
      </c>
      <c r="T43" s="239">
        <f>'tillage data'!Y18</f>
        <v>22</v>
      </c>
      <c r="U43" s="239">
        <f>'tillage data'!Z18</f>
        <v>0.82499999999999996</v>
      </c>
      <c r="V43" s="239">
        <f>'tillage data'!AA18</f>
        <v>0.85</v>
      </c>
      <c r="W43" s="239">
        <f>'tillage data'!AB18</f>
        <v>90</v>
      </c>
      <c r="X43" s="239">
        <f>'tillage data'!AC18</f>
        <v>70</v>
      </c>
      <c r="Y43" s="239">
        <f>'tillage data'!AD18</f>
        <v>125</v>
      </c>
      <c r="Z43" s="239">
        <f>'tillage data'!AE18</f>
        <v>10</v>
      </c>
      <c r="AA43" s="239">
        <f>'tillage data'!AF18</f>
        <v>14</v>
      </c>
      <c r="AB43" s="239">
        <f>'tillage data'!AG18</f>
        <v>14</v>
      </c>
      <c r="AC43" s="239">
        <v>175</v>
      </c>
      <c r="AD43" s="239">
        <v>15</v>
      </c>
      <c r="AE43" s="243" t="str">
        <f t="shared" si="1"/>
        <v>440 PTO Hp Tractor</v>
      </c>
      <c r="AF43" s="244">
        <v>559017</v>
      </c>
      <c r="AG43" s="244">
        <v>440</v>
      </c>
      <c r="AH43" s="244">
        <v>10</v>
      </c>
      <c r="AI43" s="239">
        <v>15</v>
      </c>
      <c r="AL43" s="239">
        <v>14</v>
      </c>
      <c r="AM43" s="249">
        <f t="shared" si="7"/>
        <v>864.94432149767817</v>
      </c>
      <c r="AN43" s="249">
        <f t="shared" si="15"/>
        <v>25542.958952776717</v>
      </c>
      <c r="AO43" s="249">
        <f t="shared" si="2"/>
        <v>2554.2958952776717</v>
      </c>
      <c r="AP43" s="249">
        <f t="shared" si="16"/>
        <v>157.26260390866875</v>
      </c>
      <c r="AQ43" s="249">
        <f t="shared" si="17"/>
        <v>4644.1743550503124</v>
      </c>
      <c r="AR43" s="249">
        <f t="shared" si="3"/>
        <v>464.41743550503122</v>
      </c>
      <c r="AT43" s="239">
        <v>14</v>
      </c>
      <c r="AU43" s="249">
        <f t="shared" si="11"/>
        <v>6459.6706224908739</v>
      </c>
      <c r="AV43" s="249">
        <f t="shared" si="12"/>
        <v>158942.55578097628</v>
      </c>
      <c r="AW43" s="249">
        <f t="shared" si="4"/>
        <v>15894.255578097629</v>
      </c>
      <c r="AX43" s="249">
        <f t="shared" si="13"/>
        <v>1174.4855677256135</v>
      </c>
      <c r="AY43" s="249">
        <f t="shared" si="14"/>
        <v>28898.646505632052</v>
      </c>
      <c r="AZ43" s="249">
        <f t="shared" si="5"/>
        <v>2889.864650563205</v>
      </c>
    </row>
    <row r="44" spans="2:52" ht="13.25" customHeight="1">
      <c r="B44" s="11"/>
      <c r="C44" s="12"/>
      <c r="D44" s="12"/>
      <c r="E44" s="12"/>
      <c r="F44" s="75"/>
      <c r="G44" s="60"/>
      <c r="H44" s="60" t="s">
        <v>100</v>
      </c>
      <c r="I44" s="64">
        <f>ROUND(I20+($D$18/$D$30)*I34,0)</f>
        <v>1826</v>
      </c>
      <c r="J44" s="65">
        <f>J20+J34</f>
        <v>26.08</v>
      </c>
      <c r="K44" s="82">
        <f t="shared" si="18"/>
        <v>1.89</v>
      </c>
      <c r="L44" s="78"/>
      <c r="O44" s="239" t="str">
        <f>'tillage data'!T19</f>
        <v>Disk Ripper (disk, chisel, rolling basket) - 27 Ft</v>
      </c>
      <c r="P44" s="239" t="str">
        <f>'tillage data'!U19</f>
        <v>Disk Ripper (disk, chisel, rolling basket)</v>
      </c>
      <c r="Q44" s="239" t="str">
        <f>'tillage data'!V19</f>
        <v>27 Ft</v>
      </c>
      <c r="R44" s="239">
        <f>'tillage data'!W19</f>
        <v>154766</v>
      </c>
      <c r="S44" s="239">
        <f>'tillage data'!X19</f>
        <v>6</v>
      </c>
      <c r="T44" s="239">
        <f>'tillage data'!Y19</f>
        <v>27</v>
      </c>
      <c r="U44" s="239">
        <f>'tillage data'!Z19</f>
        <v>0.82499999999999996</v>
      </c>
      <c r="V44" s="239">
        <f>'tillage data'!AA19</f>
        <v>0.85</v>
      </c>
      <c r="W44" s="239">
        <f>'tillage data'!AB19</f>
        <v>90</v>
      </c>
      <c r="X44" s="239">
        <f>'tillage data'!AC19</f>
        <v>70</v>
      </c>
      <c r="Y44" s="239">
        <f>'tillage data'!AD19</f>
        <v>125</v>
      </c>
      <c r="Z44" s="239">
        <f>'tillage data'!AE19</f>
        <v>10</v>
      </c>
      <c r="AA44" s="239">
        <f>'tillage data'!AF19</f>
        <v>16</v>
      </c>
      <c r="AB44" s="239">
        <f>'tillage data'!AG19</f>
        <v>14</v>
      </c>
      <c r="AC44" s="239">
        <v>205</v>
      </c>
      <c r="AD44" s="239">
        <v>16</v>
      </c>
      <c r="AE44" s="243" t="str">
        <f t="shared" si="1"/>
        <v>490 PTO Hp Tractor</v>
      </c>
      <c r="AF44" s="244">
        <v>602796</v>
      </c>
      <c r="AG44" s="244">
        <v>490</v>
      </c>
      <c r="AH44" s="244">
        <v>10</v>
      </c>
      <c r="AI44" s="239">
        <v>16</v>
      </c>
      <c r="AL44" s="239">
        <v>15</v>
      </c>
      <c r="AM44" s="249">
        <f t="shared" si="7"/>
        <v>795.7487757778639</v>
      </c>
      <c r="AN44" s="249">
        <f t="shared" si="15"/>
        <v>26338.707728554582</v>
      </c>
      <c r="AO44" s="249">
        <f t="shared" si="2"/>
        <v>2633.8707728554582</v>
      </c>
      <c r="AP44" s="249">
        <f t="shared" si="16"/>
        <v>144.68159559597527</v>
      </c>
      <c r="AQ44" s="249">
        <f t="shared" si="17"/>
        <v>4788.855950646288</v>
      </c>
      <c r="AR44" s="249">
        <f t="shared" si="3"/>
        <v>478.88559506462877</v>
      </c>
      <c r="AT44" s="239">
        <v>15</v>
      </c>
      <c r="AU44" s="249">
        <f t="shared" si="11"/>
        <v>6072.0903851414196</v>
      </c>
      <c r="AV44" s="249">
        <f t="shared" si="12"/>
        <v>165014.64616611772</v>
      </c>
      <c r="AW44" s="249">
        <f t="shared" si="4"/>
        <v>16501.464616611771</v>
      </c>
      <c r="AX44" s="249">
        <f t="shared" si="13"/>
        <v>1104.0164336620762</v>
      </c>
      <c r="AY44" s="249">
        <f t="shared" si="14"/>
        <v>30002.662939294129</v>
      </c>
      <c r="AZ44" s="249">
        <f t="shared" si="5"/>
        <v>3000.2662939294128</v>
      </c>
    </row>
    <row r="45" spans="2:52" ht="13.25" customHeight="1">
      <c r="B45" s="11"/>
      <c r="C45" s="12"/>
      <c r="D45" s="12"/>
      <c r="E45" s="13"/>
      <c r="F45" s="75"/>
      <c r="G45" s="60"/>
      <c r="H45" s="60" t="s">
        <v>101</v>
      </c>
      <c r="I45" s="64">
        <f>ROUND(($D$18/$D$30)*I35,0)</f>
        <v>2832</v>
      </c>
      <c r="J45" s="65">
        <f>J35</f>
        <v>40.46</v>
      </c>
      <c r="K45" s="82">
        <f t="shared" si="18"/>
        <v>2.93</v>
      </c>
      <c r="L45" s="78"/>
      <c r="O45" s="239" t="str">
        <f>'tillage data'!T20</f>
        <v>Vertical tillage, rolling basket - 21 ft 9 in</v>
      </c>
      <c r="P45" s="239" t="str">
        <f>'tillage data'!U20</f>
        <v>Vertical tillage, rolling basket</v>
      </c>
      <c r="Q45" s="239" t="str">
        <f>'tillage data'!V20</f>
        <v>21 ft 9 in</v>
      </c>
      <c r="R45" s="239">
        <f>'tillage data'!W20</f>
        <v>73168</v>
      </c>
      <c r="S45" s="239">
        <f>'tillage data'!X20</f>
        <v>9</v>
      </c>
      <c r="T45" s="239">
        <f>'tillage data'!Y20</f>
        <v>21.75</v>
      </c>
      <c r="U45" s="239">
        <f>'tillage data'!Z20</f>
        <v>0.82499999999999996</v>
      </c>
      <c r="V45" s="239">
        <f>'tillage data'!AA20</f>
        <v>0.85</v>
      </c>
      <c r="W45" s="239">
        <f>'tillage data'!AB20</f>
        <v>90</v>
      </c>
      <c r="X45" s="239">
        <f>'tillage data'!AC20</f>
        <v>70</v>
      </c>
      <c r="Y45" s="239">
        <f>'tillage data'!AD20</f>
        <v>125</v>
      </c>
      <c r="Z45" s="239">
        <f>'tillage data'!AE20</f>
        <v>10</v>
      </c>
      <c r="AA45" s="239">
        <f>'tillage data'!AF20</f>
        <v>8</v>
      </c>
      <c r="AB45" s="239">
        <f>'tillage data'!AG20</f>
        <v>4</v>
      </c>
      <c r="AC45" s="239">
        <v>225</v>
      </c>
      <c r="AD45" s="239">
        <v>17</v>
      </c>
      <c r="AE45" s="243" t="str">
        <f t="shared" si="1"/>
        <v>590 PTO Hp Tractor</v>
      </c>
      <c r="AF45" s="244">
        <v>675931</v>
      </c>
      <c r="AG45" s="244">
        <v>590</v>
      </c>
      <c r="AH45" s="244">
        <v>10</v>
      </c>
      <c r="AI45" s="239">
        <v>17</v>
      </c>
      <c r="AL45" s="239">
        <v>16</v>
      </c>
      <c r="AM45" s="249">
        <f t="shared" si="7"/>
        <v>732.0888737156348</v>
      </c>
      <c r="AN45" s="249">
        <f t="shared" si="15"/>
        <v>27070.796602270217</v>
      </c>
      <c r="AO45" s="249">
        <f t="shared" si="2"/>
        <v>2707.0796602270216</v>
      </c>
      <c r="AP45" s="249">
        <f t="shared" si="16"/>
        <v>133.10706794829724</v>
      </c>
      <c r="AQ45" s="249">
        <f t="shared" si="17"/>
        <v>4921.9630185945853</v>
      </c>
      <c r="AR45" s="249">
        <f t="shared" si="3"/>
        <v>492.19630185945852</v>
      </c>
      <c r="AT45" s="239">
        <v>16</v>
      </c>
      <c r="AU45" s="249">
        <f t="shared" si="11"/>
        <v>5707.7649620329348</v>
      </c>
      <c r="AV45" s="249">
        <f t="shared" si="12"/>
        <v>170722.41112815065</v>
      </c>
      <c r="AW45" s="249">
        <f t="shared" si="4"/>
        <v>17072.241112815063</v>
      </c>
      <c r="AX45" s="249">
        <f t="shared" si="13"/>
        <v>1037.7754476423518</v>
      </c>
      <c r="AY45" s="249">
        <f t="shared" si="14"/>
        <v>31040.438386936479</v>
      </c>
      <c r="AZ45" s="249">
        <f t="shared" si="5"/>
        <v>3104.043838693648</v>
      </c>
    </row>
    <row r="46" spans="2:52" ht="13.25" customHeight="1">
      <c r="B46" s="11"/>
      <c r="C46" s="12"/>
      <c r="D46" s="12"/>
      <c r="E46" s="13"/>
      <c r="F46" s="75"/>
      <c r="G46" s="60"/>
      <c r="H46" s="60" t="s">
        <v>102</v>
      </c>
      <c r="I46" s="169">
        <f>ROUND(($D$18/$D$30)*I36,0)</f>
        <v>1617</v>
      </c>
      <c r="J46" s="167">
        <f>J36</f>
        <v>23.1</v>
      </c>
      <c r="K46" s="105">
        <f t="shared" si="18"/>
        <v>1.67</v>
      </c>
      <c r="L46" s="78"/>
      <c r="O46" s="239" t="str">
        <f>'tillage data'!T21</f>
        <v>Vertical tillage, rolling basket - 25 ft 5 in</v>
      </c>
      <c r="P46" s="239" t="str">
        <f>'tillage data'!U21</f>
        <v>Vertical tillage, rolling basket</v>
      </c>
      <c r="Q46" s="239" t="str">
        <f>'tillage data'!V21</f>
        <v>25 ft 5 in</v>
      </c>
      <c r="R46" s="239">
        <f>'tillage data'!W21</f>
        <v>137193</v>
      </c>
      <c r="S46" s="239">
        <f>'tillage data'!X21</f>
        <v>9</v>
      </c>
      <c r="T46" s="239">
        <f>'tillage data'!Y21</f>
        <v>25.42</v>
      </c>
      <c r="U46" s="239">
        <f>'tillage data'!Z21</f>
        <v>0.82499999999999996</v>
      </c>
      <c r="V46" s="239">
        <f>'tillage data'!AA21</f>
        <v>0.85</v>
      </c>
      <c r="W46" s="239">
        <f>'tillage data'!AB21</f>
        <v>90</v>
      </c>
      <c r="X46" s="239">
        <f>'tillage data'!AC21</f>
        <v>70</v>
      </c>
      <c r="Y46" s="239">
        <f>'tillage data'!AD21</f>
        <v>125</v>
      </c>
      <c r="Z46" s="239">
        <f>'tillage data'!AE21</f>
        <v>10</v>
      </c>
      <c r="AA46" s="239">
        <f>'tillage data'!AF21</f>
        <v>11</v>
      </c>
      <c r="AB46" s="239">
        <f>'tillage data'!AG21</f>
        <v>4</v>
      </c>
      <c r="AC46" s="239">
        <v>240</v>
      </c>
      <c r="AD46" s="239">
        <v>18</v>
      </c>
      <c r="AE46" s="243" t="str">
        <f>CONCATENATE(AG46," PTO Hp Tractor")</f>
        <v>640 PTO Hp Tractor</v>
      </c>
      <c r="AF46" s="244">
        <v>726306</v>
      </c>
      <c r="AG46" s="244">
        <v>640</v>
      </c>
      <c r="AH46" s="244">
        <v>10</v>
      </c>
      <c r="AI46" s="239">
        <v>18</v>
      </c>
      <c r="AL46" s="239">
        <v>17</v>
      </c>
      <c r="AM46" s="249">
        <f t="shared" si="7"/>
        <v>673.52176381838399</v>
      </c>
      <c r="AN46" s="249">
        <f t="shared" si="15"/>
        <v>27744.318366088599</v>
      </c>
      <c r="AO46" s="249">
        <f t="shared" si="2"/>
        <v>2774.4318366088601</v>
      </c>
      <c r="AP46" s="249">
        <f t="shared" si="16"/>
        <v>122.45850251243347</v>
      </c>
      <c r="AQ46" s="249">
        <f t="shared" si="17"/>
        <v>5044.4215211070186</v>
      </c>
      <c r="AR46" s="249">
        <f t="shared" si="3"/>
        <v>504.44215211070184</v>
      </c>
      <c r="AT46" s="239">
        <v>17</v>
      </c>
      <c r="AU46" s="249">
        <f t="shared" si="11"/>
        <v>5365.2990643109588</v>
      </c>
      <c r="AV46" s="249">
        <f t="shared" si="12"/>
        <v>176087.71019246161</v>
      </c>
      <c r="AW46" s="249">
        <f t="shared" si="4"/>
        <v>17608.77101924616</v>
      </c>
      <c r="AX46" s="249">
        <f t="shared" si="13"/>
        <v>975.50892078381082</v>
      </c>
      <c r="AY46" s="249">
        <f t="shared" si="14"/>
        <v>32015.947307720289</v>
      </c>
      <c r="AZ46" s="249">
        <f t="shared" si="5"/>
        <v>3201.5947307720289</v>
      </c>
    </row>
    <row r="47" spans="2:52" ht="13.25" customHeight="1">
      <c r="B47" s="14"/>
      <c r="C47" s="15"/>
      <c r="D47" s="15"/>
      <c r="E47" s="16"/>
      <c r="F47" s="84"/>
      <c r="G47" s="168" t="s">
        <v>107</v>
      </c>
      <c r="H47" s="62"/>
      <c r="I47" s="169">
        <f>SUM(I41:I46)</f>
        <v>21030</v>
      </c>
      <c r="J47" s="167">
        <f>SUM(J41:J46)</f>
        <v>300.43</v>
      </c>
      <c r="K47" s="167">
        <f>SUM(K41:K46)</f>
        <v>21.759999999999998</v>
      </c>
      <c r="L47" s="85"/>
      <c r="O47" s="239" t="str">
        <f>'tillage data'!T22</f>
        <v>Vertical tillage, rolling basket - 30 ft 3 in</v>
      </c>
      <c r="P47" s="239" t="str">
        <f>'tillage data'!U22</f>
        <v>Vertical tillage, rolling basket</v>
      </c>
      <c r="Q47" s="239" t="str">
        <f>'tillage data'!V22</f>
        <v>30 ft 3 in</v>
      </c>
      <c r="R47" s="239">
        <f>'tillage data'!W22</f>
        <v>165132</v>
      </c>
      <c r="S47" s="239">
        <f>'tillage data'!X22</f>
        <v>9</v>
      </c>
      <c r="T47" s="239">
        <f>'tillage data'!Y22</f>
        <v>30.25</v>
      </c>
      <c r="U47" s="239">
        <f>'tillage data'!Z22</f>
        <v>0.82499999999999996</v>
      </c>
      <c r="V47" s="239">
        <f>'tillage data'!AA22</f>
        <v>0.85</v>
      </c>
      <c r="W47" s="239">
        <f>'tillage data'!AB22</f>
        <v>90</v>
      </c>
      <c r="X47" s="239">
        <f>'tillage data'!AC22</f>
        <v>70</v>
      </c>
      <c r="Y47" s="239">
        <f>'tillage data'!AD22</f>
        <v>125</v>
      </c>
      <c r="Z47" s="239">
        <f>'tillage data'!AE22</f>
        <v>10</v>
      </c>
      <c r="AA47" s="239">
        <f>'tillage data'!AF22</f>
        <v>12</v>
      </c>
      <c r="AB47" s="239">
        <f>'tillage data'!AG22</f>
        <v>4</v>
      </c>
      <c r="AC47" s="239">
        <v>285</v>
      </c>
      <c r="AI47" s="175"/>
      <c r="AL47" s="239">
        <v>18</v>
      </c>
      <c r="AM47" s="249">
        <f t="shared" si="7"/>
        <v>619.64002271291338</v>
      </c>
      <c r="AN47" s="249">
        <f t="shared" si="15"/>
        <v>28363.958388801511</v>
      </c>
      <c r="AO47" s="249">
        <f t="shared" si="2"/>
        <v>2836.3958388801511</v>
      </c>
      <c r="AP47" s="249">
        <f t="shared" si="16"/>
        <v>112.6618223114388</v>
      </c>
      <c r="AQ47" s="249">
        <f t="shared" si="17"/>
        <v>5157.0833434184578</v>
      </c>
      <c r="AR47" s="249">
        <f t="shared" si="3"/>
        <v>515.70833434184578</v>
      </c>
      <c r="AT47" s="239">
        <v>18</v>
      </c>
      <c r="AU47" s="249">
        <f t="shared" si="11"/>
        <v>5043.3811204523008</v>
      </c>
      <c r="AV47" s="249">
        <f t="shared" si="12"/>
        <v>181131.09131291392</v>
      </c>
      <c r="AW47" s="249">
        <f t="shared" si="4"/>
        <v>18113.109131291392</v>
      </c>
      <c r="AX47" s="249">
        <f t="shared" si="13"/>
        <v>916.97838553678207</v>
      </c>
      <c r="AY47" s="249">
        <f t="shared" si="14"/>
        <v>32932.925693257072</v>
      </c>
      <c r="AZ47" s="249">
        <f t="shared" si="5"/>
        <v>3293.2925693257071</v>
      </c>
    </row>
    <row r="48" spans="2:52" ht="13.25" customHeight="1">
      <c r="O48" s="239" t="str">
        <f>'tillage data'!T23</f>
        <v>Vertical tillage, rolling basket - 33 ft 10 in</v>
      </c>
      <c r="P48" s="239" t="str">
        <f>'tillage data'!U23</f>
        <v>Vertical tillage, rolling basket</v>
      </c>
      <c r="Q48" s="239" t="str">
        <f>'tillage data'!V23</f>
        <v>33 ft 10 in</v>
      </c>
      <c r="R48" s="239">
        <f>'tillage data'!W23</f>
        <v>182003</v>
      </c>
      <c r="S48" s="239">
        <f>'tillage data'!X23</f>
        <v>9</v>
      </c>
      <c r="T48" s="239">
        <f>'tillage data'!Y23</f>
        <v>33.83</v>
      </c>
      <c r="U48" s="239">
        <f>'tillage data'!Z23</f>
        <v>0.82499999999999996</v>
      </c>
      <c r="V48" s="239">
        <f>'tillage data'!AA23</f>
        <v>0.85</v>
      </c>
      <c r="W48" s="239">
        <f>'tillage data'!AB23</f>
        <v>90</v>
      </c>
      <c r="X48" s="239">
        <f>'tillage data'!AC23</f>
        <v>70</v>
      </c>
      <c r="Y48" s="239">
        <f>'tillage data'!AD23</f>
        <v>125</v>
      </c>
      <c r="Z48" s="239">
        <f>'tillage data'!AE23</f>
        <v>10</v>
      </c>
      <c r="AA48" s="239">
        <f>'tillage data'!AF23</f>
        <v>14</v>
      </c>
      <c r="AB48" s="239">
        <f>'tillage data'!AG23</f>
        <v>4</v>
      </c>
      <c r="AC48" s="239">
        <v>310</v>
      </c>
      <c r="AI48" s="175"/>
      <c r="AL48" s="239">
        <v>19</v>
      </c>
      <c r="AM48" s="249">
        <f t="shared" si="7"/>
        <v>570.06882089588032</v>
      </c>
      <c r="AN48" s="249">
        <f t="shared" si="15"/>
        <v>28934.027209697393</v>
      </c>
      <c r="AO48" s="249">
        <f t="shared" si="2"/>
        <v>2893.4027209697392</v>
      </c>
      <c r="AP48" s="249">
        <f t="shared" si="16"/>
        <v>103.64887652652369</v>
      </c>
      <c r="AQ48" s="249">
        <f t="shared" si="17"/>
        <v>5260.7322199449818</v>
      </c>
      <c r="AR48" s="249">
        <f t="shared" si="3"/>
        <v>526.07322199449823</v>
      </c>
      <c r="AT48" s="239">
        <v>19</v>
      </c>
      <c r="AU48" s="249">
        <f t="shared" si="11"/>
        <v>4740.7782532251622</v>
      </c>
      <c r="AV48" s="249">
        <f t="shared" si="12"/>
        <v>185871.8695661391</v>
      </c>
      <c r="AW48" s="249">
        <f t="shared" si="4"/>
        <v>18587.18695661391</v>
      </c>
      <c r="AX48" s="249">
        <f t="shared" si="13"/>
        <v>861.95968240457501</v>
      </c>
      <c r="AY48" s="249">
        <f t="shared" si="14"/>
        <v>33794.885375661645</v>
      </c>
      <c r="AZ48" s="249">
        <f t="shared" si="5"/>
        <v>3379.4885375661643</v>
      </c>
    </row>
    <row r="49" spans="11:52" ht="13.25" customHeight="1">
      <c r="K49" s="232"/>
      <c r="O49" s="239" t="str">
        <f>'tillage data'!T24</f>
        <v>Vertical tillage, rolling basket - 43 ft 6 in</v>
      </c>
      <c r="P49" s="239" t="str">
        <f>'tillage data'!U24</f>
        <v>Vertical tillage, rolling basket</v>
      </c>
      <c r="Q49" s="239" t="str">
        <f>'tillage data'!V24</f>
        <v>43 ft 6 in</v>
      </c>
      <c r="R49" s="239">
        <f>'tillage data'!W24</f>
        <v>240491</v>
      </c>
      <c r="S49" s="239">
        <f>'tillage data'!X24</f>
        <v>9</v>
      </c>
      <c r="T49" s="239">
        <f>'tillage data'!Y24</f>
        <v>43.5</v>
      </c>
      <c r="U49" s="239">
        <f>'tillage data'!Z24</f>
        <v>0.82499999999999996</v>
      </c>
      <c r="V49" s="239">
        <f>'tillage data'!AA24</f>
        <v>0.85</v>
      </c>
      <c r="W49" s="239">
        <f>'tillage data'!AB24</f>
        <v>90</v>
      </c>
      <c r="X49" s="239">
        <f>'tillage data'!AC24</f>
        <v>70</v>
      </c>
      <c r="Y49" s="239">
        <f>'tillage data'!AD24</f>
        <v>125</v>
      </c>
      <c r="Z49" s="239">
        <f>'tillage data'!AE24</f>
        <v>10</v>
      </c>
      <c r="AA49" s="239">
        <f>'tillage data'!AF24</f>
        <v>15</v>
      </c>
      <c r="AB49" s="239">
        <f>'tillage data'!AG24</f>
        <v>4</v>
      </c>
      <c r="AC49" s="239">
        <v>260</v>
      </c>
      <c r="AI49" s="175"/>
      <c r="AL49" s="239">
        <v>20</v>
      </c>
      <c r="AM49" s="249">
        <f t="shared" si="7"/>
        <v>524.46331522420985</v>
      </c>
      <c r="AN49" s="249">
        <f t="shared" si="15"/>
        <v>29458.490524921603</v>
      </c>
      <c r="AO49" s="249">
        <f t="shared" si="2"/>
        <v>2945.8490524921604</v>
      </c>
      <c r="AP49" s="249">
        <f t="shared" si="16"/>
        <v>95.356966404401788</v>
      </c>
      <c r="AQ49" s="249">
        <f t="shared" si="17"/>
        <v>5356.0891863493835</v>
      </c>
      <c r="AR49" s="249">
        <f t="shared" si="3"/>
        <v>535.60891863493839</v>
      </c>
      <c r="AT49" s="239">
        <v>20</v>
      </c>
      <c r="AU49" s="249">
        <f t="shared" si="11"/>
        <v>4456.331558031653</v>
      </c>
      <c r="AV49" s="249">
        <f t="shared" si="12"/>
        <v>190328.20112417074</v>
      </c>
      <c r="AW49" s="249">
        <f t="shared" si="4"/>
        <v>19032.820112417074</v>
      </c>
      <c r="AX49" s="249">
        <f t="shared" si="13"/>
        <v>810.24210146030055</v>
      </c>
      <c r="AY49" s="249">
        <f t="shared" si="14"/>
        <v>34605.127477121947</v>
      </c>
      <c r="AZ49" s="249">
        <f t="shared" si="5"/>
        <v>3460.5127477121946</v>
      </c>
    </row>
    <row r="50" spans="11:52">
      <c r="O50" s="239" t="str">
        <f>'tillage data'!T25</f>
        <v>Vertical tillage, rolling basket - 49 ft 6 in</v>
      </c>
      <c r="P50" s="239" t="str">
        <f>'tillage data'!U25</f>
        <v>Vertical tillage, rolling basket</v>
      </c>
      <c r="Q50" s="239" t="str">
        <f>'tillage data'!V25</f>
        <v>49 ft 6 in</v>
      </c>
      <c r="R50" s="239">
        <f>'tillage data'!W25</f>
        <v>277732</v>
      </c>
      <c r="S50" s="239">
        <f>'tillage data'!X25</f>
        <v>9</v>
      </c>
      <c r="T50" s="239">
        <f>'tillage data'!Y25</f>
        <v>49.5</v>
      </c>
      <c r="U50" s="239">
        <f>'tillage data'!Z25</f>
        <v>0.82499999999999996</v>
      </c>
      <c r="V50" s="239">
        <f>'tillage data'!AA25</f>
        <v>0.85</v>
      </c>
      <c r="W50" s="239">
        <f>'tillage data'!AB25</f>
        <v>90</v>
      </c>
      <c r="X50" s="239">
        <f>'tillage data'!AC25</f>
        <v>70</v>
      </c>
      <c r="Y50" s="239">
        <f>'tillage data'!AD25</f>
        <v>125</v>
      </c>
      <c r="Z50" s="239">
        <f>'tillage data'!AE25</f>
        <v>10</v>
      </c>
      <c r="AA50" s="239">
        <f>'tillage data'!AF25</f>
        <v>17</v>
      </c>
      <c r="AB50" s="239">
        <f>'tillage data'!AG25</f>
        <v>4</v>
      </c>
      <c r="AC50" s="239">
        <v>310</v>
      </c>
      <c r="AI50" s="175"/>
      <c r="AL50" s="239">
        <v>21</v>
      </c>
      <c r="AM50" s="249">
        <f t="shared" si="7"/>
        <v>482.50625000627315</v>
      </c>
      <c r="AN50" s="249">
        <f t="shared" si="15"/>
        <v>29940.996774927877</v>
      </c>
      <c r="AO50" s="249">
        <f t="shared" si="2"/>
        <v>2994.0996774927876</v>
      </c>
      <c r="AP50" s="249">
        <f t="shared" si="16"/>
        <v>87.72840909204966</v>
      </c>
      <c r="AQ50" s="249">
        <f t="shared" si="17"/>
        <v>5443.8175954414328</v>
      </c>
      <c r="AR50" s="249">
        <f t="shared" si="3"/>
        <v>544.38175954414328</v>
      </c>
      <c r="AT50" s="239">
        <v>21</v>
      </c>
      <c r="AU50" s="249">
        <f t="shared" si="11"/>
        <v>4188.9516645497533</v>
      </c>
      <c r="AV50" s="249">
        <f t="shared" si="12"/>
        <v>194517.1527887205</v>
      </c>
      <c r="AW50" s="249">
        <f t="shared" si="4"/>
        <v>19451.715278872049</v>
      </c>
      <c r="AX50" s="249">
        <f t="shared" si="13"/>
        <v>761.62757537268249</v>
      </c>
      <c r="AY50" s="249">
        <f t="shared" si="14"/>
        <v>35366.755052494627</v>
      </c>
      <c r="AZ50" s="249">
        <f t="shared" si="5"/>
        <v>3536.6755052494627</v>
      </c>
    </row>
    <row r="51" spans="11:52">
      <c r="O51" s="239" t="str">
        <f>'tillage data'!T26</f>
        <v>Moldboard plow - 6 bottom</v>
      </c>
      <c r="P51" s="239" t="str">
        <f>'tillage data'!U26</f>
        <v>Moldboard plow</v>
      </c>
      <c r="Q51" s="239" t="str">
        <f>'tillage data'!V26</f>
        <v>6 bottom</v>
      </c>
      <c r="R51" s="239">
        <f>'tillage data'!W26</f>
        <v>62883</v>
      </c>
      <c r="S51" s="239">
        <f>'tillage data'!X26</f>
        <v>4.5</v>
      </c>
      <c r="T51" s="239">
        <f>'tillage data'!Y26</f>
        <v>9</v>
      </c>
      <c r="U51" s="239">
        <f>'tillage data'!Z26</f>
        <v>0.82499999999999996</v>
      </c>
      <c r="V51" s="239">
        <f>'tillage data'!AA26</f>
        <v>0.85</v>
      </c>
      <c r="W51" s="239">
        <f>'tillage data'!AB26</f>
        <v>177.75</v>
      </c>
      <c r="X51" s="239">
        <f>'tillage data'!AC26</f>
        <v>120</v>
      </c>
      <c r="Y51" s="239">
        <f>'tillage data'!AD26</f>
        <v>125</v>
      </c>
      <c r="Z51" s="239">
        <f>'tillage data'!AE26</f>
        <v>10</v>
      </c>
      <c r="AA51" s="239">
        <f>'tillage data'!AF26</f>
        <v>7</v>
      </c>
      <c r="AB51" s="239">
        <f>'tillage data'!AG26</f>
        <v>2</v>
      </c>
      <c r="AC51" s="239">
        <v>440</v>
      </c>
      <c r="AI51" s="175"/>
      <c r="AL51" s="239">
        <v>22</v>
      </c>
      <c r="AM51" s="249">
        <f t="shared" si="7"/>
        <v>443.90575000577132</v>
      </c>
      <c r="AN51" s="249">
        <f t="shared" si="15"/>
        <v>30384.902524933648</v>
      </c>
      <c r="AO51" s="249">
        <f t="shared" si="2"/>
        <v>3038.490252493365</v>
      </c>
      <c r="AP51" s="249">
        <f t="shared" si="16"/>
        <v>80.710136364685695</v>
      </c>
      <c r="AQ51" s="249">
        <f t="shared" si="17"/>
        <v>5524.527731806118</v>
      </c>
      <c r="AR51" s="249">
        <f t="shared" si="3"/>
        <v>552.45277318061176</v>
      </c>
      <c r="AT51" s="239">
        <v>22</v>
      </c>
      <c r="AU51" s="249">
        <f t="shared" si="11"/>
        <v>3937.6145646767682</v>
      </c>
      <c r="AV51" s="249">
        <f t="shared" si="12"/>
        <v>198454.76735339727</v>
      </c>
      <c r="AW51" s="249">
        <f t="shared" si="4"/>
        <v>19845.476735339726</v>
      </c>
      <c r="AX51" s="249">
        <f t="shared" si="13"/>
        <v>715.92992085032154</v>
      </c>
      <c r="AY51" s="249">
        <f t="shared" si="14"/>
        <v>36082.684973344949</v>
      </c>
      <c r="AZ51" s="249">
        <f t="shared" si="5"/>
        <v>3608.2684973344949</v>
      </c>
    </row>
    <row r="52" spans="11:52">
      <c r="O52" s="239" t="str">
        <f>'tillage data'!T27</f>
        <v>Moldboard plow - 7 bottom</v>
      </c>
      <c r="P52" s="239" t="str">
        <f>'tillage data'!U27</f>
        <v>Moldboard plow</v>
      </c>
      <c r="Q52" s="239" t="str">
        <f>'tillage data'!V27</f>
        <v>7 bottom</v>
      </c>
      <c r="R52" s="239">
        <f>'tillage data'!W27</f>
        <v>72191</v>
      </c>
      <c r="S52" s="239">
        <f>'tillage data'!X27</f>
        <v>4.5</v>
      </c>
      <c r="T52" s="239">
        <f>'tillage data'!Y27</f>
        <v>10.5</v>
      </c>
      <c r="U52" s="239">
        <f>'tillage data'!Z27</f>
        <v>0.82499999999999996</v>
      </c>
      <c r="V52" s="239">
        <f>'tillage data'!AA27</f>
        <v>0.85</v>
      </c>
      <c r="W52" s="239">
        <f>'tillage data'!AB27</f>
        <v>177.75</v>
      </c>
      <c r="X52" s="239">
        <f>'tillage data'!AC27</f>
        <v>120</v>
      </c>
      <c r="Y52" s="239">
        <f>'tillage data'!AD27</f>
        <v>125</v>
      </c>
      <c r="Z52" s="239">
        <f>'tillage data'!AE27</f>
        <v>10</v>
      </c>
      <c r="AA52" s="239">
        <f>'tillage data'!AF27</f>
        <v>8</v>
      </c>
      <c r="AB52" s="239">
        <f>'tillage data'!AG27</f>
        <v>2</v>
      </c>
      <c r="AC52" s="239">
        <v>490</v>
      </c>
      <c r="AI52" s="175"/>
      <c r="AL52" s="239">
        <v>23</v>
      </c>
      <c r="AM52" s="249">
        <f t="shared" si="7"/>
        <v>408.3932900053095</v>
      </c>
      <c r="AN52" s="249">
        <f t="shared" si="15"/>
        <v>30793.295814938956</v>
      </c>
      <c r="AO52" s="249">
        <f t="shared" si="2"/>
        <v>3079.3295814938956</v>
      </c>
      <c r="AP52" s="249">
        <f t="shared" si="16"/>
        <v>74.253325455510819</v>
      </c>
      <c r="AQ52" s="249">
        <f t="shared" si="17"/>
        <v>5598.781057261629</v>
      </c>
      <c r="AR52" s="249">
        <f t="shared" si="3"/>
        <v>559.87810572616286</v>
      </c>
      <c r="AT52" s="239">
        <v>23</v>
      </c>
      <c r="AU52" s="249">
        <f t="shared" si="11"/>
        <v>3701.3576907961619</v>
      </c>
      <c r="AV52" s="249">
        <f t="shared" si="12"/>
        <v>202156.12504419344</v>
      </c>
      <c r="AW52" s="249">
        <f t="shared" si="4"/>
        <v>20215.612504419343</v>
      </c>
      <c r="AX52" s="249">
        <f t="shared" si="13"/>
        <v>672.97412559930217</v>
      </c>
      <c r="AY52" s="249">
        <f t="shared" si="14"/>
        <v>36755.659098944248</v>
      </c>
      <c r="AZ52" s="249">
        <f t="shared" si="5"/>
        <v>3675.5659098944247</v>
      </c>
    </row>
    <row r="53" spans="11:52">
      <c r="O53" s="239" t="str">
        <f>'tillage data'!T28</f>
        <v xml:space="preserve">Moldboard plow - 9 bottom </v>
      </c>
      <c r="P53" s="239" t="str">
        <f>'tillage data'!U28</f>
        <v>Moldboard plow</v>
      </c>
      <c r="Q53" s="239" t="str">
        <f>'tillage data'!V28</f>
        <v xml:space="preserve">9 bottom </v>
      </c>
      <c r="R53" s="239">
        <f>'tillage data'!W28</f>
        <v>100730</v>
      </c>
      <c r="S53" s="239">
        <f>'tillage data'!X28</f>
        <v>4.5</v>
      </c>
      <c r="T53" s="239">
        <f>'tillage data'!Y28</f>
        <v>13.5</v>
      </c>
      <c r="U53" s="239">
        <f>'tillage data'!Z28</f>
        <v>0.82499999999999996</v>
      </c>
      <c r="V53" s="239">
        <f>'tillage data'!AA28</f>
        <v>0.85</v>
      </c>
      <c r="W53" s="239">
        <f>'tillage data'!AB28</f>
        <v>177.75</v>
      </c>
      <c r="X53" s="239">
        <f>'tillage data'!AC28</f>
        <v>120</v>
      </c>
      <c r="Y53" s="239">
        <f>'tillage data'!AD28</f>
        <v>125</v>
      </c>
      <c r="Z53" s="239">
        <f>'tillage data'!AE28</f>
        <v>10</v>
      </c>
      <c r="AA53" s="239">
        <f>'tillage data'!AF28</f>
        <v>11</v>
      </c>
      <c r="AB53" s="239">
        <f>'tillage data'!AG28</f>
        <v>2</v>
      </c>
      <c r="AC53" s="239">
        <v>590</v>
      </c>
      <c r="AI53" s="175"/>
      <c r="AL53" s="239">
        <v>24</v>
      </c>
      <c r="AM53" s="249">
        <f t="shared" si="7"/>
        <v>375.72182680488487</v>
      </c>
      <c r="AN53" s="249">
        <f t="shared" si="15"/>
        <v>31169.017641743842</v>
      </c>
      <c r="AO53" s="249">
        <f t="shared" si="2"/>
        <v>3116.901764174384</v>
      </c>
      <c r="AP53" s="249">
        <f t="shared" si="16"/>
        <v>68.313059419069972</v>
      </c>
      <c r="AQ53" s="249">
        <f t="shared" si="17"/>
        <v>5667.0941166806988</v>
      </c>
      <c r="AR53" s="249">
        <f t="shared" si="3"/>
        <v>566.70941166806983</v>
      </c>
      <c r="AT53" s="239">
        <v>24</v>
      </c>
      <c r="AU53" s="249">
        <f t="shared" si="11"/>
        <v>3479.2762293483925</v>
      </c>
      <c r="AV53" s="249">
        <f t="shared" si="12"/>
        <v>205635.40127354182</v>
      </c>
      <c r="AW53" s="249">
        <f t="shared" si="4"/>
        <v>20563.540127354183</v>
      </c>
      <c r="AX53" s="249">
        <f t="shared" si="13"/>
        <v>632.59567806334405</v>
      </c>
      <c r="AY53" s="249">
        <f t="shared" si="14"/>
        <v>37388.254777007591</v>
      </c>
      <c r="AZ53" s="249">
        <f t="shared" si="5"/>
        <v>3738.8254777007592</v>
      </c>
    </row>
    <row r="54" spans="11:52">
      <c r="O54" s="239" t="str">
        <f>'tillage data'!T29</f>
        <v>Moldboard plow - 10 bottom</v>
      </c>
      <c r="P54" s="239" t="str">
        <f>'tillage data'!U29</f>
        <v>Moldboard plow</v>
      </c>
      <c r="Q54" s="239" t="str">
        <f>'tillage data'!V29</f>
        <v>10 bottom</v>
      </c>
      <c r="R54" s="239">
        <f>'tillage data'!W29</f>
        <v>111688</v>
      </c>
      <c r="S54" s="239">
        <f>'tillage data'!X29</f>
        <v>4.5</v>
      </c>
      <c r="T54" s="239">
        <f>'tillage data'!Y29</f>
        <v>15</v>
      </c>
      <c r="U54" s="239">
        <f>'tillage data'!Z29</f>
        <v>0.82499999999999996</v>
      </c>
      <c r="V54" s="239">
        <f>'tillage data'!AA29</f>
        <v>0.85</v>
      </c>
      <c r="W54" s="239">
        <f>'tillage data'!AB29</f>
        <v>177.75</v>
      </c>
      <c r="X54" s="239">
        <f>'tillage data'!AC29</f>
        <v>120</v>
      </c>
      <c r="Y54" s="239">
        <f>'tillage data'!AD29</f>
        <v>125</v>
      </c>
      <c r="Z54" s="239">
        <f>'tillage data'!AE29</f>
        <v>10</v>
      </c>
      <c r="AA54" s="239">
        <f>'tillage data'!AF29</f>
        <v>12</v>
      </c>
      <c r="AB54" s="239">
        <f>'tillage data'!AG29</f>
        <v>2</v>
      </c>
      <c r="AC54" s="239">
        <v>225</v>
      </c>
      <c r="AI54" s="175"/>
      <c r="AL54" s="239">
        <v>25</v>
      </c>
      <c r="AM54" s="249">
        <f t="shared" si="7"/>
        <v>345.66408066049411</v>
      </c>
      <c r="AN54" s="249">
        <f t="shared" si="15"/>
        <v>31514.681722404337</v>
      </c>
      <c r="AO54" s="249">
        <f t="shared" si="2"/>
        <v>3151.4681722404339</v>
      </c>
      <c r="AP54" s="249">
        <f t="shared" si="16"/>
        <v>62.848014665544383</v>
      </c>
      <c r="AQ54" s="249">
        <f t="shared" si="17"/>
        <v>5729.9421313462435</v>
      </c>
      <c r="AR54" s="249">
        <f t="shared" si="3"/>
        <v>572.99421313462437</v>
      </c>
      <c r="AT54" s="239">
        <v>25</v>
      </c>
      <c r="AU54" s="249">
        <f t="shared" si="11"/>
        <v>3270.5196555874886</v>
      </c>
      <c r="AV54" s="249">
        <f t="shared" si="12"/>
        <v>208905.92092912932</v>
      </c>
      <c r="AW54" s="249">
        <f t="shared" si="4"/>
        <v>20890.592092912932</v>
      </c>
      <c r="AX54" s="249">
        <f t="shared" si="13"/>
        <v>594.63993737954343</v>
      </c>
      <c r="AY54" s="249">
        <f t="shared" si="14"/>
        <v>37982.894714387134</v>
      </c>
      <c r="AZ54" s="249">
        <f t="shared" si="5"/>
        <v>3798.2894714387135</v>
      </c>
    </row>
    <row r="55" spans="11:52">
      <c r="O55" s="239" t="str">
        <f>'tillage data'!T30</f>
        <v>Mulch tiller (disk, chisel shanks) - 11 ft. 3 in.</v>
      </c>
      <c r="P55" s="239" t="str">
        <f>'tillage data'!U30</f>
        <v>Mulch tiller (disk, chisel shanks)</v>
      </c>
      <c r="Q55" s="239" t="str">
        <f>'tillage data'!V30</f>
        <v>11 ft. 3 in.</v>
      </c>
      <c r="R55" s="239">
        <f>'tillage data'!W30</f>
        <v>29754</v>
      </c>
      <c r="S55" s="239">
        <f>'tillage data'!X30</f>
        <v>5</v>
      </c>
      <c r="T55" s="239">
        <f>'tillage data'!Y30</f>
        <v>11.25</v>
      </c>
      <c r="U55" s="239">
        <f>'tillage data'!Z30</f>
        <v>0.82499999999999996</v>
      </c>
      <c r="V55" s="239">
        <f>'tillage data'!AA30</f>
        <v>0.85</v>
      </c>
      <c r="W55" s="239">
        <f>'tillage data'!AB30</f>
        <v>90</v>
      </c>
      <c r="X55" s="239">
        <f>'tillage data'!AC30</f>
        <v>70</v>
      </c>
      <c r="Y55" s="239">
        <f>'tillage data'!AD30</f>
        <v>125</v>
      </c>
      <c r="Z55" s="239">
        <f>'tillage data'!AE30</f>
        <v>10</v>
      </c>
      <c r="AA55" s="239">
        <f>'tillage data'!AF30</f>
        <v>5</v>
      </c>
      <c r="AB55" s="239">
        <f>'tillage data'!AG30</f>
        <v>14</v>
      </c>
      <c r="AC55" s="239">
        <v>240</v>
      </c>
      <c r="AI55" s="175"/>
      <c r="AL55" s="239">
        <v>26</v>
      </c>
      <c r="AM55" s="249">
        <f t="shared" si="7"/>
        <v>318.01095420765461</v>
      </c>
      <c r="AN55" s="249">
        <f t="shared" si="15"/>
        <v>31832.69267661199</v>
      </c>
      <c r="AO55" s="249">
        <f t="shared" si="2"/>
        <v>3183.2692676611991</v>
      </c>
      <c r="AP55" s="249">
        <f t="shared" si="16"/>
        <v>57.820173492300839</v>
      </c>
      <c r="AQ55" s="249">
        <f t="shared" si="17"/>
        <v>5787.762304838544</v>
      </c>
      <c r="AR55" s="249">
        <f t="shared" si="3"/>
        <v>578.77623048385442</v>
      </c>
      <c r="AT55" s="239">
        <v>26</v>
      </c>
      <c r="AU55" s="249">
        <f t="shared" si="11"/>
        <v>3074.2884762522394</v>
      </c>
      <c r="AV55" s="249">
        <f t="shared" si="12"/>
        <v>211980.20940538155</v>
      </c>
      <c r="AW55" s="249">
        <f t="shared" si="4"/>
        <v>21198.020940538154</v>
      </c>
      <c r="AX55" s="249">
        <f t="shared" si="13"/>
        <v>558.96154113677085</v>
      </c>
      <c r="AY55" s="249">
        <f t="shared" si="14"/>
        <v>38541.856255523904</v>
      </c>
      <c r="AZ55" s="249">
        <f t="shared" si="5"/>
        <v>3854.1856255523903</v>
      </c>
    </row>
    <row r="56" spans="11:52">
      <c r="O56" s="239" t="str">
        <f>'tillage data'!T31</f>
        <v>Mulch tiller (disk, chisel shanks) - 13 ft. 9 in.</v>
      </c>
      <c r="P56" s="239" t="str">
        <f>'tillage data'!U31</f>
        <v>Mulch tiller (disk, chisel shanks)</v>
      </c>
      <c r="Q56" s="239" t="str">
        <f>'tillage data'!V31</f>
        <v>13 ft. 9 in.</v>
      </c>
      <c r="R56" s="239">
        <f>'tillage data'!W31</f>
        <v>36869</v>
      </c>
      <c r="S56" s="239">
        <f>'tillage data'!X31</f>
        <v>5</v>
      </c>
      <c r="T56" s="239">
        <f>'tillage data'!Y31</f>
        <v>13.75</v>
      </c>
      <c r="U56" s="239">
        <f>'tillage data'!Z31</f>
        <v>0.82499999999999996</v>
      </c>
      <c r="V56" s="239">
        <f>'tillage data'!AA31</f>
        <v>0.85</v>
      </c>
      <c r="W56" s="239">
        <f>'tillage data'!AB31</f>
        <v>90</v>
      </c>
      <c r="X56" s="239">
        <f>'tillage data'!AC31</f>
        <v>70</v>
      </c>
      <c r="Y56" s="239">
        <f>'tillage data'!AD31</f>
        <v>125</v>
      </c>
      <c r="Z56" s="239">
        <f>'tillage data'!AE31</f>
        <v>10</v>
      </c>
      <c r="AA56" s="239">
        <f>'tillage data'!AF31</f>
        <v>7</v>
      </c>
      <c r="AB56" s="239">
        <f>'tillage data'!AG31</f>
        <v>14</v>
      </c>
      <c r="AC56" s="239">
        <v>260</v>
      </c>
      <c r="AI56" s="175"/>
      <c r="AL56" s="239">
        <v>27</v>
      </c>
      <c r="AM56" s="249">
        <f t="shared" si="7"/>
        <v>292.5700778710422</v>
      </c>
      <c r="AN56" s="249">
        <f t="shared" si="15"/>
        <v>32125.262754483032</v>
      </c>
      <c r="AO56" s="249">
        <f t="shared" si="2"/>
        <v>3212.5262754483033</v>
      </c>
      <c r="AP56" s="249">
        <f t="shared" si="16"/>
        <v>53.194559612916763</v>
      </c>
      <c r="AQ56" s="249">
        <f t="shared" si="17"/>
        <v>5840.9568644514611</v>
      </c>
      <c r="AR56" s="249">
        <f t="shared" si="3"/>
        <v>584.09568644514616</v>
      </c>
      <c r="AT56" s="239">
        <v>27</v>
      </c>
      <c r="AU56" s="249">
        <f t="shared" si="11"/>
        <v>2889.831167677105</v>
      </c>
      <c r="AV56" s="249">
        <f t="shared" si="12"/>
        <v>214870.04057305865</v>
      </c>
      <c r="AW56" s="249">
        <f t="shared" si="4"/>
        <v>21487.004057305865</v>
      </c>
      <c r="AX56" s="249">
        <f t="shared" si="13"/>
        <v>525.42384866856457</v>
      </c>
      <c r="AY56" s="249">
        <f t="shared" si="14"/>
        <v>39067.280104192469</v>
      </c>
      <c r="AZ56" s="249">
        <f t="shared" si="5"/>
        <v>3906.7280104192469</v>
      </c>
    </row>
    <row r="57" spans="11:52">
      <c r="O57" s="239" t="str">
        <f>'tillage data'!T32</f>
        <v>Mulch tiller (disk, chisel shanks) - 16 ft. 3 in.</v>
      </c>
      <c r="P57" s="239" t="str">
        <f>'tillage data'!U32</f>
        <v>Mulch tiller (disk, chisel shanks)</v>
      </c>
      <c r="Q57" s="239" t="str">
        <f>'tillage data'!V32</f>
        <v>16 ft. 3 in.</v>
      </c>
      <c r="R57" s="239">
        <f>'tillage data'!W32</f>
        <v>41496</v>
      </c>
      <c r="S57" s="239">
        <f>'tillage data'!X32</f>
        <v>5</v>
      </c>
      <c r="T57" s="239">
        <f>'tillage data'!Y32</f>
        <v>16.25</v>
      </c>
      <c r="U57" s="239">
        <f>'tillage data'!Z32</f>
        <v>0.82499999999999996</v>
      </c>
      <c r="V57" s="239">
        <f>'tillage data'!AA32</f>
        <v>0.85</v>
      </c>
      <c r="W57" s="239">
        <f>'tillage data'!AB32</f>
        <v>90</v>
      </c>
      <c r="X57" s="239">
        <f>'tillage data'!AC32</f>
        <v>70</v>
      </c>
      <c r="Y57" s="239">
        <f>'tillage data'!AD32</f>
        <v>125</v>
      </c>
      <c r="Z57" s="239">
        <f>'tillage data'!AE32</f>
        <v>10</v>
      </c>
      <c r="AA57" s="239">
        <f>'tillage data'!AF32</f>
        <v>8</v>
      </c>
      <c r="AB57" s="239">
        <f>'tillage data'!AG32</f>
        <v>14</v>
      </c>
      <c r="AC57" s="239">
        <v>285</v>
      </c>
      <c r="AI57" s="175"/>
      <c r="AL57" s="239">
        <v>28</v>
      </c>
      <c r="AM57" s="249">
        <f t="shared" si="7"/>
        <v>269.16447164135889</v>
      </c>
      <c r="AN57" s="249">
        <f t="shared" si="15"/>
        <v>32394.42722612439</v>
      </c>
      <c r="AO57" s="249">
        <f t="shared" si="2"/>
        <v>3239.442722612439</v>
      </c>
      <c r="AP57" s="249">
        <f t="shared" si="16"/>
        <v>48.938994843883428</v>
      </c>
      <c r="AQ57" s="249">
        <f t="shared" si="17"/>
        <v>5889.895859295345</v>
      </c>
      <c r="AR57" s="249">
        <f t="shared" si="3"/>
        <v>588.98958592953454</v>
      </c>
      <c r="AT57" s="239">
        <v>28</v>
      </c>
      <c r="AU57" s="249">
        <f t="shared" si="11"/>
        <v>2716.441297616479</v>
      </c>
      <c r="AV57" s="249">
        <f t="shared" si="12"/>
        <v>217586.48187067514</v>
      </c>
      <c r="AW57" s="249">
        <f t="shared" si="4"/>
        <v>21758.648187067512</v>
      </c>
      <c r="AX57" s="249">
        <f t="shared" si="13"/>
        <v>493.89841774845075</v>
      </c>
      <c r="AY57" s="249">
        <f t="shared" si="14"/>
        <v>39561.178521940921</v>
      </c>
      <c r="AZ57" s="249">
        <f t="shared" si="5"/>
        <v>3956.1178521940919</v>
      </c>
    </row>
    <row r="58" spans="11:52">
      <c r="O58" s="239" t="str">
        <f>'tillage data'!T33</f>
        <v>Mulch tiller (disk, chisel shanks) - 18 ft. 9 in.</v>
      </c>
      <c r="P58" s="239" t="str">
        <f>'tillage data'!U33</f>
        <v>Mulch tiller (disk, chisel shanks)</v>
      </c>
      <c r="Q58" s="239" t="str">
        <f>'tillage data'!V33</f>
        <v>18 ft. 9 in.</v>
      </c>
      <c r="R58" s="239">
        <f>'tillage data'!W33</f>
        <v>62350</v>
      </c>
      <c r="S58" s="239">
        <f>'tillage data'!X33</f>
        <v>5</v>
      </c>
      <c r="T58" s="239">
        <f>'tillage data'!Y33</f>
        <v>18.75</v>
      </c>
      <c r="U58" s="239">
        <f>'tillage data'!Z33</f>
        <v>0.82499999999999996</v>
      </c>
      <c r="V58" s="239">
        <f>'tillage data'!AA33</f>
        <v>0.85</v>
      </c>
      <c r="W58" s="239">
        <f>'tillage data'!AB33</f>
        <v>90</v>
      </c>
      <c r="X58" s="239">
        <f>'tillage data'!AC33</f>
        <v>70</v>
      </c>
      <c r="Y58" s="239">
        <f>'tillage data'!AD33</f>
        <v>125</v>
      </c>
      <c r="Z58" s="239">
        <f>'tillage data'!AE33</f>
        <v>10</v>
      </c>
      <c r="AA58" s="239">
        <f>'tillage data'!AF33</f>
        <v>10</v>
      </c>
      <c r="AB58" s="239">
        <f>'tillage data'!AG33</f>
        <v>14</v>
      </c>
      <c r="AC58" s="239">
        <v>285</v>
      </c>
      <c r="AI58" s="175"/>
      <c r="AL58" s="239">
        <v>29</v>
      </c>
      <c r="AM58" s="249">
        <f t="shared" si="7"/>
        <v>247.63131391005012</v>
      </c>
      <c r="AN58" s="249">
        <f t="shared" si="15"/>
        <v>32642.058540034439</v>
      </c>
      <c r="AO58" s="249">
        <f t="shared" si="2"/>
        <v>3264.2058540034441</v>
      </c>
      <c r="AP58" s="249">
        <f t="shared" si="16"/>
        <v>45.023875256372747</v>
      </c>
      <c r="AQ58" s="249">
        <f t="shared" si="17"/>
        <v>5934.9197345517177</v>
      </c>
      <c r="AR58" s="249">
        <f t="shared" si="3"/>
        <v>593.49197345517177</v>
      </c>
      <c r="AT58" s="239">
        <v>29</v>
      </c>
      <c r="AU58" s="249">
        <f t="shared" si="11"/>
        <v>2553.4548197594895</v>
      </c>
      <c r="AV58" s="249">
        <f t="shared" si="12"/>
        <v>220139.93669043464</v>
      </c>
      <c r="AW58" s="249">
        <f t="shared" si="4"/>
        <v>22013.993669043462</v>
      </c>
      <c r="AX58" s="249">
        <f t="shared" si="13"/>
        <v>464.26451268354361</v>
      </c>
      <c r="AY58" s="249">
        <f t="shared" si="14"/>
        <v>40025.443034624463</v>
      </c>
      <c r="AZ58" s="249">
        <f t="shared" si="5"/>
        <v>4002.5443034624464</v>
      </c>
    </row>
    <row r="59" spans="11:52">
      <c r="O59" s="239" t="str">
        <f>'tillage data'!T34</f>
        <v>Mulch tiller (disk, chisel shanks) - 21 ft 3 in.</v>
      </c>
      <c r="P59" s="239" t="str">
        <f>'tillage data'!U34</f>
        <v>Mulch tiller (disk, chisel shanks)</v>
      </c>
      <c r="Q59" s="239" t="str">
        <f>'tillage data'!V34</f>
        <v>21 ft 3 in.</v>
      </c>
      <c r="R59" s="239">
        <f>'tillage data'!W34</f>
        <v>65389</v>
      </c>
      <c r="S59" s="239">
        <f>'tillage data'!X34</f>
        <v>5</v>
      </c>
      <c r="T59" s="239">
        <f>'tillage data'!Y34</f>
        <v>21.25</v>
      </c>
      <c r="U59" s="239">
        <f>'tillage data'!Z34</f>
        <v>0.82499999999999996</v>
      </c>
      <c r="V59" s="239">
        <f>'tillage data'!AA34</f>
        <v>0.85</v>
      </c>
      <c r="W59" s="239">
        <f>'tillage data'!AB34</f>
        <v>90</v>
      </c>
      <c r="X59" s="239">
        <f>'tillage data'!AC34</f>
        <v>70</v>
      </c>
      <c r="Y59" s="239">
        <f>'tillage data'!AD34</f>
        <v>125</v>
      </c>
      <c r="Z59" s="239">
        <f>'tillage data'!AE34</f>
        <v>10</v>
      </c>
      <c r="AA59" s="239">
        <f>'tillage data'!AF34</f>
        <v>11</v>
      </c>
      <c r="AB59" s="239">
        <f>'tillage data'!AG34</f>
        <v>14</v>
      </c>
      <c r="AC59" s="239">
        <v>310</v>
      </c>
      <c r="AI59" s="175"/>
      <c r="AL59" s="239">
        <v>30</v>
      </c>
      <c r="AM59" s="249">
        <f t="shared" si="7"/>
        <v>227.82080879724614</v>
      </c>
      <c r="AN59" s="249">
        <f t="shared" si="15"/>
        <v>32869.879348831688</v>
      </c>
      <c r="AO59" s="249">
        <f t="shared" si="2"/>
        <v>3286.9879348831687</v>
      </c>
      <c r="AP59" s="249">
        <f t="shared" si="16"/>
        <v>41.421965235862935</v>
      </c>
      <c r="AQ59" s="249">
        <f t="shared" si="17"/>
        <v>5976.3416997875811</v>
      </c>
      <c r="AR59" s="249">
        <f t="shared" si="3"/>
        <v>597.63416997875811</v>
      </c>
      <c r="AT59" s="239">
        <v>30</v>
      </c>
      <c r="AU59" s="249">
        <f t="shared" si="11"/>
        <v>2400.2475305739208</v>
      </c>
      <c r="AV59" s="249">
        <f t="shared" si="12"/>
        <v>222540.18422100856</v>
      </c>
      <c r="AW59" s="249">
        <f t="shared" si="4"/>
        <v>22254.018422100857</v>
      </c>
      <c r="AX59" s="249">
        <f t="shared" si="13"/>
        <v>436.40864192253105</v>
      </c>
      <c r="AY59" s="249">
        <f t="shared" si="14"/>
        <v>40461.85167654699</v>
      </c>
      <c r="AZ59" s="249">
        <f t="shared" si="5"/>
        <v>4046.1851676546989</v>
      </c>
    </row>
    <row r="60" spans="11:52">
      <c r="O60" s="239" t="str">
        <f>'tillage data'!T35</f>
        <v xml:space="preserve">Offset disk - 10 ft. </v>
      </c>
      <c r="P60" s="239" t="str">
        <f>'tillage data'!U35</f>
        <v>Offset disk</v>
      </c>
      <c r="Q60" s="239" t="str">
        <f>'tillage data'!V35</f>
        <v xml:space="preserve">10 ft. </v>
      </c>
      <c r="R60" s="239">
        <f>'tillage data'!W35</f>
        <v>39896</v>
      </c>
      <c r="S60" s="239">
        <f>'tillage data'!X35</f>
        <v>6</v>
      </c>
      <c r="T60" s="239">
        <f>'tillage data'!Y35</f>
        <v>10</v>
      </c>
      <c r="U60" s="239">
        <f>'tillage data'!Z35</f>
        <v>0.82499999999999996</v>
      </c>
      <c r="V60" s="239">
        <f>'tillage data'!AA35</f>
        <v>0.85</v>
      </c>
      <c r="W60" s="239">
        <f>'tillage data'!AB35</f>
        <v>90</v>
      </c>
      <c r="X60" s="239">
        <f>'tillage data'!AC35</f>
        <v>70</v>
      </c>
      <c r="Y60" s="239">
        <f>'tillage data'!AD35</f>
        <v>125</v>
      </c>
      <c r="Z60" s="239">
        <f>'tillage data'!AE35</f>
        <v>10</v>
      </c>
      <c r="AA60" s="239">
        <f>'tillage data'!AF35</f>
        <v>4</v>
      </c>
      <c r="AB60" s="239">
        <f>'tillage data'!AG35</f>
        <v>14</v>
      </c>
      <c r="AC60" s="239">
        <v>390</v>
      </c>
      <c r="AI60" s="175"/>
      <c r="AL60" s="239">
        <v>31</v>
      </c>
      <c r="AM60" s="249">
        <f t="shared" si="7"/>
        <v>209.59514409346644</v>
      </c>
      <c r="AN60" s="249">
        <f t="shared" si="15"/>
        <v>33079.474492925154</v>
      </c>
      <c r="AO60" s="249">
        <f t="shared" si="2"/>
        <v>3307.9474492925156</v>
      </c>
      <c r="AP60" s="249">
        <f t="shared" si="16"/>
        <v>38.108208016993899</v>
      </c>
      <c r="AQ60" s="249">
        <f t="shared" si="17"/>
        <v>6014.4499078045747</v>
      </c>
      <c r="AR60" s="249">
        <f t="shared" si="3"/>
        <v>601.44499078045749</v>
      </c>
      <c r="AT60" s="239">
        <v>31</v>
      </c>
      <c r="AU60" s="249">
        <f t="shared" si="11"/>
        <v>2256.2326787394854</v>
      </c>
      <c r="AV60" s="249">
        <f t="shared" si="12"/>
        <v>224796.41689974806</v>
      </c>
      <c r="AW60" s="249">
        <f t="shared" si="4"/>
        <v>22479.641689974807</v>
      </c>
      <c r="AX60" s="249">
        <f t="shared" si="13"/>
        <v>410.22412340717915</v>
      </c>
      <c r="AY60" s="249">
        <f t="shared" si="14"/>
        <v>40872.075799954167</v>
      </c>
      <c r="AZ60" s="249">
        <f t="shared" si="5"/>
        <v>4087.2075799954168</v>
      </c>
    </row>
    <row r="61" spans="11:52">
      <c r="O61" s="239" t="str">
        <f>'tillage data'!T36</f>
        <v>Offset disk - 14 ft..</v>
      </c>
      <c r="P61" s="239" t="str">
        <f>'tillage data'!U36</f>
        <v>Offset disk</v>
      </c>
      <c r="Q61" s="239" t="str">
        <f>'tillage data'!V36</f>
        <v>14 ft..</v>
      </c>
      <c r="R61" s="239">
        <f>'tillage data'!W36</f>
        <v>43831</v>
      </c>
      <c r="S61" s="239">
        <f>'tillage data'!X36</f>
        <v>6</v>
      </c>
      <c r="T61" s="239">
        <f>'tillage data'!Y36</f>
        <v>14</v>
      </c>
      <c r="U61" s="239">
        <f>'tillage data'!Z36</f>
        <v>0.82499999999999996</v>
      </c>
      <c r="V61" s="239">
        <f>'tillage data'!AA36</f>
        <v>0.85</v>
      </c>
      <c r="W61" s="239">
        <f>'tillage data'!AB36</f>
        <v>90</v>
      </c>
      <c r="X61" s="239">
        <f>'tillage data'!AC36</f>
        <v>70</v>
      </c>
      <c r="Y61" s="239">
        <f>'tillage data'!AD36</f>
        <v>125</v>
      </c>
      <c r="Z61" s="239">
        <f>'tillage data'!AE36</f>
        <v>10</v>
      </c>
      <c r="AA61" s="239">
        <f>'tillage data'!AF36</f>
        <v>6</v>
      </c>
      <c r="AB61" s="239">
        <f>'tillage data'!AG36</f>
        <v>14</v>
      </c>
      <c r="AC61" s="239">
        <v>490</v>
      </c>
      <c r="AI61" s="175"/>
      <c r="AL61" s="239">
        <v>32</v>
      </c>
      <c r="AM61" s="249">
        <f t="shared" si="7"/>
        <v>192.82753256598915</v>
      </c>
      <c r="AN61" s="249">
        <f t="shared" si="15"/>
        <v>33272.302025491146</v>
      </c>
      <c r="AO61" s="249">
        <f t="shared" si="2"/>
        <v>3327.2302025491144</v>
      </c>
      <c r="AP61" s="249">
        <f t="shared" si="16"/>
        <v>35.059551375634392</v>
      </c>
      <c r="AQ61" s="249">
        <f t="shared" si="17"/>
        <v>6049.509459180209</v>
      </c>
      <c r="AR61" s="249">
        <f t="shared" si="3"/>
        <v>604.95094591802092</v>
      </c>
      <c r="AT61" s="239">
        <v>32</v>
      </c>
      <c r="AU61" s="249">
        <f t="shared" si="11"/>
        <v>2120.8587180151162</v>
      </c>
      <c r="AV61" s="249">
        <f t="shared" si="12"/>
        <v>226917.27561776317</v>
      </c>
      <c r="AW61" s="249">
        <f t="shared" si="4"/>
        <v>22691.727561776315</v>
      </c>
      <c r="AX61" s="249">
        <f t="shared" si="13"/>
        <v>385.61067600274839</v>
      </c>
      <c r="AY61" s="249">
        <f t="shared" si="14"/>
        <v>41257.686475956914</v>
      </c>
      <c r="AZ61" s="249">
        <f t="shared" si="5"/>
        <v>4125.7686475956916</v>
      </c>
    </row>
    <row r="62" spans="11:52">
      <c r="O62" s="239" t="str">
        <f>'tillage data'!T37</f>
        <v xml:space="preserve">Offset disk - 16 ft. </v>
      </c>
      <c r="P62" s="239" t="str">
        <f>'tillage data'!U37</f>
        <v>Offset disk</v>
      </c>
      <c r="Q62" s="239" t="str">
        <f>'tillage data'!V37</f>
        <v xml:space="preserve">16 ft. </v>
      </c>
      <c r="R62" s="239">
        <f>'tillage data'!W37</f>
        <v>46374</v>
      </c>
      <c r="S62" s="239">
        <f>'tillage data'!X37</f>
        <v>6</v>
      </c>
      <c r="T62" s="239">
        <f>'tillage data'!Y37</f>
        <v>16</v>
      </c>
      <c r="U62" s="239">
        <f>'tillage data'!Z37</f>
        <v>0.82499999999999996</v>
      </c>
      <c r="V62" s="239">
        <f>'tillage data'!AA37</f>
        <v>0.85</v>
      </c>
      <c r="W62" s="239">
        <f>'tillage data'!AB37</f>
        <v>90</v>
      </c>
      <c r="X62" s="239">
        <f>'tillage data'!AC37</f>
        <v>70</v>
      </c>
      <c r="Y62" s="239">
        <f>'tillage data'!AD37</f>
        <v>125</v>
      </c>
      <c r="Z62" s="239">
        <f>'tillage data'!AE37</f>
        <v>10</v>
      </c>
      <c r="AA62" s="239">
        <f>'tillage data'!AF37</f>
        <v>8</v>
      </c>
      <c r="AB62" s="239">
        <f>'tillage data'!AG37</f>
        <v>14</v>
      </c>
      <c r="AC62" s="239">
        <v>590</v>
      </c>
      <c r="AI62" s="175"/>
      <c r="AL62" s="239">
        <v>33</v>
      </c>
      <c r="AM62" s="249">
        <f t="shared" si="7"/>
        <v>177.40132996071006</v>
      </c>
      <c r="AN62" s="249">
        <f t="shared" si="15"/>
        <v>33449.703355451857</v>
      </c>
      <c r="AO62" s="249">
        <f t="shared" si="2"/>
        <v>3344.9703355451857</v>
      </c>
      <c r="AP62" s="249">
        <f t="shared" si="16"/>
        <v>32.254787265583644</v>
      </c>
      <c r="AQ62" s="249">
        <f t="shared" si="17"/>
        <v>6081.7642464457922</v>
      </c>
      <c r="AR62" s="249">
        <f t="shared" si="3"/>
        <v>608.17642464457924</v>
      </c>
      <c r="AT62" s="239">
        <v>33</v>
      </c>
      <c r="AU62" s="249">
        <f t="shared" si="11"/>
        <v>1993.6071949342092</v>
      </c>
      <c r="AV62" s="249">
        <f t="shared" si="12"/>
        <v>228910.88281269738</v>
      </c>
      <c r="AW62" s="249">
        <f t="shared" si="4"/>
        <v>22891.088281269738</v>
      </c>
      <c r="AX62" s="249">
        <f t="shared" si="13"/>
        <v>362.4740354425835</v>
      </c>
      <c r="AY62" s="249">
        <f t="shared" si="14"/>
        <v>41620.160511399496</v>
      </c>
      <c r="AZ62" s="249">
        <f t="shared" si="5"/>
        <v>4162.0160511399499</v>
      </c>
    </row>
    <row r="63" spans="11:52">
      <c r="O63" s="239" t="str">
        <f>'tillage data'!T38</f>
        <v>Strip Till - 12-row</v>
      </c>
      <c r="P63" s="239" t="str">
        <f>'tillage data'!U38</f>
        <v>Strip Till</v>
      </c>
      <c r="Q63" s="239" t="str">
        <f>'tillage data'!V38</f>
        <v>12-row</v>
      </c>
      <c r="R63" s="239">
        <f>'tillage data'!W38</f>
        <v>128840</v>
      </c>
      <c r="S63" s="239">
        <f>'tillage data'!X38</f>
        <v>6</v>
      </c>
      <c r="T63" s="239">
        <f>'tillage data'!Y38</f>
        <v>30</v>
      </c>
      <c r="U63" s="239">
        <f>'tillage data'!Z38</f>
        <v>0.8</v>
      </c>
      <c r="V63" s="239">
        <f>'tillage data'!AA38</f>
        <v>0.85</v>
      </c>
      <c r="W63" s="239">
        <f>'tillage data'!AB38</f>
        <v>90</v>
      </c>
      <c r="X63" s="239">
        <f>'tillage data'!AC38</f>
        <v>70</v>
      </c>
      <c r="Y63" s="239">
        <f>'tillage data'!AD38</f>
        <v>125</v>
      </c>
      <c r="Z63" s="239">
        <f>'tillage data'!AE38</f>
        <v>10</v>
      </c>
      <c r="AA63" s="239">
        <f>'tillage data'!AF38</f>
        <v>12</v>
      </c>
      <c r="AB63" s="239">
        <f>'tillage data'!AG38</f>
        <v>10</v>
      </c>
      <c r="AC63" s="239">
        <v>240</v>
      </c>
      <c r="AI63" s="175"/>
      <c r="AL63" s="239">
        <v>34</v>
      </c>
      <c r="AM63" s="249">
        <f t="shared" si="7"/>
        <v>163.20922356385324</v>
      </c>
      <c r="AN63" s="249">
        <f t="shared" ref="AN63:AN79" si="19">AN62+AM63</f>
        <v>33612.912579015712</v>
      </c>
      <c r="AO63" s="249">
        <f t="shared" si="2"/>
        <v>3361.291257901571</v>
      </c>
      <c r="AP63" s="249">
        <f t="shared" ref="AP63:AP79" si="20">$D$10*$AE$9*$AF$9^($D$11+AL63)*$D$42</f>
        <v>29.674404284336951</v>
      </c>
      <c r="AQ63" s="249">
        <f t="shared" ref="AQ63:AQ79" si="21">AQ62+AP63</f>
        <v>6111.4386507301288</v>
      </c>
      <c r="AR63" s="249">
        <f t="shared" si="3"/>
        <v>611.14386507301288</v>
      </c>
      <c r="AT63" s="239">
        <v>34</v>
      </c>
      <c r="AU63" s="249">
        <f t="shared" si="11"/>
        <v>1873.9907632381567</v>
      </c>
      <c r="AV63" s="249">
        <f t="shared" si="12"/>
        <v>230784.87357593555</v>
      </c>
      <c r="AW63" s="249">
        <f t="shared" si="4"/>
        <v>23078.487357593556</v>
      </c>
      <c r="AX63" s="249">
        <f t="shared" si="13"/>
        <v>340.72559331602849</v>
      </c>
      <c r="AY63" s="249">
        <f t="shared" si="14"/>
        <v>41960.886104715522</v>
      </c>
      <c r="AZ63" s="249">
        <f t="shared" si="5"/>
        <v>4196.0886104715519</v>
      </c>
    </row>
    <row r="64" spans="11:52">
      <c r="O64" s="239" t="str">
        <f>'tillage data'!T39</f>
        <v>Strip Till - 16-row</v>
      </c>
      <c r="P64" s="239" t="str">
        <f>'tillage data'!U39</f>
        <v>Strip Till</v>
      </c>
      <c r="Q64" s="239" t="str">
        <f>'tillage data'!V39</f>
        <v>16-row</v>
      </c>
      <c r="R64" s="239">
        <f>'tillage data'!W39</f>
        <v>179456</v>
      </c>
      <c r="S64" s="239">
        <f>'tillage data'!X39</f>
        <v>6</v>
      </c>
      <c r="T64" s="239">
        <f>'tillage data'!Y39</f>
        <v>40</v>
      </c>
      <c r="U64" s="239">
        <f>'tillage data'!Z39</f>
        <v>0.8</v>
      </c>
      <c r="V64" s="239">
        <f>'tillage data'!AA39</f>
        <v>0.85</v>
      </c>
      <c r="W64" s="239">
        <f>'tillage data'!AB39</f>
        <v>90</v>
      </c>
      <c r="X64" s="239">
        <f>'tillage data'!AC39</f>
        <v>70</v>
      </c>
      <c r="Y64" s="239">
        <f>'tillage data'!AD39</f>
        <v>125</v>
      </c>
      <c r="Z64" s="239">
        <f>'tillage data'!AE39</f>
        <v>10</v>
      </c>
      <c r="AA64" s="239">
        <f>'tillage data'!AF39</f>
        <v>15</v>
      </c>
      <c r="AB64" s="239">
        <f>'tillage data'!AG39</f>
        <v>10</v>
      </c>
      <c r="AC64" s="239">
        <v>240</v>
      </c>
      <c r="AI64" s="175"/>
      <c r="AL64" s="239">
        <v>35</v>
      </c>
      <c r="AM64" s="249">
        <f t="shared" si="7"/>
        <v>150.15248567874497</v>
      </c>
      <c r="AN64" s="249">
        <f t="shared" si="19"/>
        <v>33763.065064694456</v>
      </c>
      <c r="AO64" s="249">
        <f t="shared" si="2"/>
        <v>3376.3065064694456</v>
      </c>
      <c r="AP64" s="249">
        <f t="shared" si="20"/>
        <v>27.300451941589994</v>
      </c>
      <c r="AQ64" s="249">
        <f t="shared" si="21"/>
        <v>6138.7391026717187</v>
      </c>
      <c r="AR64" s="249">
        <f t="shared" si="3"/>
        <v>613.87391026717182</v>
      </c>
      <c r="AT64" s="239">
        <v>35</v>
      </c>
      <c r="AU64" s="249">
        <f t="shared" si="11"/>
        <v>1761.551317443867</v>
      </c>
      <c r="AV64" s="249">
        <f t="shared" si="12"/>
        <v>232546.42489337942</v>
      </c>
      <c r="AW64" s="249">
        <f t="shared" si="4"/>
        <v>23254.642489337941</v>
      </c>
      <c r="AX64" s="249">
        <f t="shared" si="13"/>
        <v>320.28205771706672</v>
      </c>
      <c r="AY64" s="249">
        <f t="shared" si="14"/>
        <v>42281.168162432587</v>
      </c>
      <c r="AZ64" s="249">
        <f t="shared" si="5"/>
        <v>4228.1168162432587</v>
      </c>
    </row>
    <row r="65" spans="15:52">
      <c r="O65" s="239" t="str">
        <f>'tillage data'!T40</f>
        <v>Minimum till ripper - 7 ft 6 in</v>
      </c>
      <c r="P65" s="239" t="str">
        <f>'tillage data'!U40</f>
        <v>Minimum till ripper</v>
      </c>
      <c r="Q65" s="239" t="str">
        <f>'tillage data'!V40</f>
        <v>7 ft 6 in</v>
      </c>
      <c r="R65" s="239">
        <f>'tillage data'!W40</f>
        <v>17924</v>
      </c>
      <c r="S65" s="239">
        <f>'tillage data'!X40</f>
        <v>5</v>
      </c>
      <c r="T65" s="239">
        <f>'tillage data'!Y40</f>
        <v>7.5</v>
      </c>
      <c r="U65" s="239">
        <f>'tillage data'!Z40</f>
        <v>0.82499999999999996</v>
      </c>
      <c r="V65" s="239">
        <f>'tillage data'!AA40</f>
        <v>0.85</v>
      </c>
      <c r="W65" s="239">
        <f>'tillage data'!AB40</f>
        <v>90</v>
      </c>
      <c r="X65" s="239">
        <f>'tillage data'!AC40</f>
        <v>70</v>
      </c>
      <c r="Y65" s="239">
        <f>'tillage data'!AD40</f>
        <v>125</v>
      </c>
      <c r="Z65" s="239">
        <f>'tillage data'!AE40</f>
        <v>10</v>
      </c>
      <c r="AA65" s="239">
        <f>'tillage data'!AF40</f>
        <v>8</v>
      </c>
      <c r="AB65" s="239">
        <f>'tillage data'!AG40</f>
        <v>14</v>
      </c>
      <c r="AC65" s="239">
        <v>310</v>
      </c>
      <c r="AI65" s="175"/>
      <c r="AL65" s="239">
        <v>36</v>
      </c>
      <c r="AM65" s="249">
        <f t="shared" si="7"/>
        <v>138.14028682444538</v>
      </c>
      <c r="AN65" s="249">
        <f t="shared" si="19"/>
        <v>33901.205351518904</v>
      </c>
      <c r="AO65" s="249">
        <f t="shared" si="2"/>
        <v>3390.1205351518902</v>
      </c>
      <c r="AP65" s="249">
        <f t="shared" si="20"/>
        <v>25.116415786262795</v>
      </c>
      <c r="AQ65" s="249">
        <f t="shared" si="21"/>
        <v>6163.8555184579818</v>
      </c>
      <c r="AR65" s="249">
        <f t="shared" si="3"/>
        <v>616.3855518457982</v>
      </c>
      <c r="AT65" s="239">
        <v>36</v>
      </c>
      <c r="AU65" s="249">
        <f t="shared" si="11"/>
        <v>1655.858238397235</v>
      </c>
      <c r="AV65" s="249">
        <f t="shared" si="12"/>
        <v>234202.28313177664</v>
      </c>
      <c r="AW65" s="249">
        <f t="shared" si="4"/>
        <v>23420.228313177664</v>
      </c>
      <c r="AX65" s="249">
        <f t="shared" si="13"/>
        <v>301.06513425404273</v>
      </c>
      <c r="AY65" s="249">
        <f t="shared" si="14"/>
        <v>42582.233296686631</v>
      </c>
      <c r="AZ65" s="249">
        <f t="shared" si="5"/>
        <v>4258.2233296686627</v>
      </c>
    </row>
    <row r="66" spans="15:52">
      <c r="O66" s="239" t="str">
        <f>'tillage data'!T41</f>
        <v>Minimum till ripper - 10 ft</v>
      </c>
      <c r="P66" s="239" t="str">
        <f>'tillage data'!U41</f>
        <v>Minimum till ripper</v>
      </c>
      <c r="Q66" s="239" t="str">
        <f>'tillage data'!V41</f>
        <v>10 ft</v>
      </c>
      <c r="R66" s="239">
        <f>'tillage data'!W41</f>
        <v>18980</v>
      </c>
      <c r="S66" s="239">
        <f>'tillage data'!X41</f>
        <v>5</v>
      </c>
      <c r="T66" s="239">
        <f>'tillage data'!Y41</f>
        <v>10</v>
      </c>
      <c r="U66" s="239">
        <f>'tillage data'!Z41</f>
        <v>0.82499999999999996</v>
      </c>
      <c r="V66" s="239">
        <f>'tillage data'!AA41</f>
        <v>0.85</v>
      </c>
      <c r="W66" s="239">
        <f>'tillage data'!AB41</f>
        <v>90</v>
      </c>
      <c r="X66" s="239">
        <f>'tillage data'!AC41</f>
        <v>70</v>
      </c>
      <c r="Y66" s="239">
        <f>'tillage data'!AD41</f>
        <v>125</v>
      </c>
      <c r="Z66" s="239">
        <f>'tillage data'!AE41</f>
        <v>10</v>
      </c>
      <c r="AA66" s="239">
        <f>'tillage data'!AF41</f>
        <v>11</v>
      </c>
      <c r="AB66" s="239">
        <f>'tillage data'!AG41</f>
        <v>14</v>
      </c>
      <c r="AC66" s="239">
        <v>310</v>
      </c>
      <c r="AI66" s="175"/>
      <c r="AL66" s="239">
        <v>37</v>
      </c>
      <c r="AM66" s="249">
        <f t="shared" si="7"/>
        <v>127.08906387848978</v>
      </c>
      <c r="AN66" s="249">
        <f t="shared" si="19"/>
        <v>34028.294415397395</v>
      </c>
      <c r="AO66" s="249">
        <f t="shared" si="2"/>
        <v>3402.8294415397395</v>
      </c>
      <c r="AP66" s="249">
        <f t="shared" si="20"/>
        <v>23.107102523361778</v>
      </c>
      <c r="AQ66" s="249">
        <f t="shared" si="21"/>
        <v>6186.9626209813432</v>
      </c>
      <c r="AR66" s="249">
        <f t="shared" si="3"/>
        <v>618.6962620981343</v>
      </c>
      <c r="AT66" s="239">
        <v>37</v>
      </c>
      <c r="AU66" s="249">
        <f t="shared" si="11"/>
        <v>1556.506744093401</v>
      </c>
      <c r="AV66" s="249">
        <f t="shared" si="12"/>
        <v>235758.78987587005</v>
      </c>
      <c r="AW66" s="249">
        <f t="shared" si="4"/>
        <v>23575.878987587006</v>
      </c>
      <c r="AX66" s="249">
        <f t="shared" si="13"/>
        <v>283.00122619880017</v>
      </c>
      <c r="AY66" s="249">
        <f t="shared" si="14"/>
        <v>42865.234522885432</v>
      </c>
      <c r="AZ66" s="249">
        <f t="shared" si="5"/>
        <v>4286.523452288543</v>
      </c>
    </row>
    <row r="67" spans="15:52">
      <c r="O67" s="239" t="str">
        <f>'tillage data'!T42</f>
        <v>Minimum till ripper - 12 ft 6 in</v>
      </c>
      <c r="P67" s="239" t="str">
        <f>'tillage data'!U42</f>
        <v>Minimum till ripper</v>
      </c>
      <c r="Q67" s="239" t="str">
        <f>'tillage data'!V42</f>
        <v>12 ft 6 in</v>
      </c>
      <c r="R67" s="239">
        <f>'tillage data'!W42</f>
        <v>20369</v>
      </c>
      <c r="S67" s="239">
        <f>'tillage data'!X42</f>
        <v>5</v>
      </c>
      <c r="T67" s="239">
        <f>'tillage data'!Y42</f>
        <v>12.5</v>
      </c>
      <c r="U67" s="239">
        <f>'tillage data'!Z42</f>
        <v>0.82499999999999996</v>
      </c>
      <c r="V67" s="239">
        <f>'tillage data'!AA42</f>
        <v>0.85</v>
      </c>
      <c r="W67" s="239">
        <f>'tillage data'!AB42</f>
        <v>90</v>
      </c>
      <c r="X67" s="239">
        <f>'tillage data'!AC42</f>
        <v>70</v>
      </c>
      <c r="Y67" s="239">
        <f>'tillage data'!AD42</f>
        <v>125</v>
      </c>
      <c r="Z67" s="239">
        <f>'tillage data'!AE42</f>
        <v>10</v>
      </c>
      <c r="AA67" s="239">
        <f>'tillage data'!AF42</f>
        <v>13</v>
      </c>
      <c r="AB67" s="239">
        <f>'tillage data'!AG42</f>
        <v>14</v>
      </c>
      <c r="AC67" s="239">
        <v>390</v>
      </c>
      <c r="AI67" s="175"/>
      <c r="AL67" s="239">
        <v>38</v>
      </c>
      <c r="AM67" s="249">
        <f t="shared" si="7"/>
        <v>116.92193876821057</v>
      </c>
      <c r="AN67" s="249">
        <f t="shared" si="19"/>
        <v>34145.216354165605</v>
      </c>
      <c r="AO67" s="249">
        <f t="shared" si="2"/>
        <v>3414.5216354165605</v>
      </c>
      <c r="AP67" s="249">
        <f t="shared" si="20"/>
        <v>21.258534321492832</v>
      </c>
      <c r="AQ67" s="249">
        <f t="shared" si="21"/>
        <v>6208.2211553028365</v>
      </c>
      <c r="AR67" s="249">
        <f t="shared" si="3"/>
        <v>620.82211553028367</v>
      </c>
      <c r="AT67" s="239">
        <v>38</v>
      </c>
      <c r="AU67" s="249">
        <f t="shared" si="11"/>
        <v>1463.1163394477969</v>
      </c>
      <c r="AV67" s="249">
        <f t="shared" si="12"/>
        <v>237221.90621531784</v>
      </c>
      <c r="AW67" s="249">
        <f t="shared" si="4"/>
        <v>23722.190621531783</v>
      </c>
      <c r="AX67" s="249">
        <f t="shared" si="13"/>
        <v>266.02115262687215</v>
      </c>
      <c r="AY67" s="249">
        <f t="shared" si="14"/>
        <v>43131.255675512301</v>
      </c>
      <c r="AZ67" s="249">
        <f t="shared" si="5"/>
        <v>4313.1255675512302</v>
      </c>
    </row>
    <row r="68" spans="15:52">
      <c r="O68" s="239" t="str">
        <f>'tillage data'!T43</f>
        <v>Minimum till ripper - 17 ft 6 in</v>
      </c>
      <c r="P68" s="239" t="str">
        <f>'tillage data'!U43</f>
        <v>Minimum till ripper</v>
      </c>
      <c r="Q68" s="239" t="str">
        <f>'tillage data'!V43</f>
        <v>17 ft 6 in</v>
      </c>
      <c r="R68" s="239">
        <f>'tillage data'!W43</f>
        <v>28304</v>
      </c>
      <c r="S68" s="239">
        <f>'tillage data'!X43</f>
        <v>5</v>
      </c>
      <c r="T68" s="239">
        <f>'tillage data'!Y43</f>
        <v>17.5</v>
      </c>
      <c r="U68" s="239">
        <f>'tillage data'!Z43</f>
        <v>0.82499999999999996</v>
      </c>
      <c r="V68" s="239">
        <f>'tillage data'!AA43</f>
        <v>0.85</v>
      </c>
      <c r="W68" s="239">
        <f>'tillage data'!AB43</f>
        <v>90</v>
      </c>
      <c r="X68" s="239">
        <f>'tillage data'!AC43</f>
        <v>70</v>
      </c>
      <c r="Y68" s="239">
        <f>'tillage data'!AD43</f>
        <v>125</v>
      </c>
      <c r="Z68" s="239">
        <f>'tillage data'!AE43</f>
        <v>10</v>
      </c>
      <c r="AA68" s="239">
        <f>'tillage data'!AF43</f>
        <v>15</v>
      </c>
      <c r="AB68" s="239">
        <f>'tillage data'!AG43</f>
        <v>14</v>
      </c>
      <c r="AC68" s="239">
        <v>390</v>
      </c>
      <c r="AI68" s="175"/>
      <c r="AL68" s="239">
        <v>39</v>
      </c>
      <c r="AM68" s="249">
        <f t="shared" si="7"/>
        <v>107.56818366675374</v>
      </c>
      <c r="AN68" s="249">
        <f t="shared" si="19"/>
        <v>34252.784537832362</v>
      </c>
      <c r="AO68" s="249">
        <f t="shared" si="2"/>
        <v>3425.2784537832363</v>
      </c>
      <c r="AP68" s="249">
        <f t="shared" si="20"/>
        <v>19.557851575773409</v>
      </c>
      <c r="AQ68" s="249">
        <f t="shared" si="21"/>
        <v>6227.7790068786098</v>
      </c>
      <c r="AR68" s="249">
        <f t="shared" si="3"/>
        <v>622.77790068786101</v>
      </c>
      <c r="AT68" s="239">
        <v>39</v>
      </c>
      <c r="AU68" s="249">
        <f t="shared" si="11"/>
        <v>1375.329359080929</v>
      </c>
      <c r="AV68" s="249">
        <f t="shared" si="12"/>
        <v>238597.23557439877</v>
      </c>
      <c r="AW68" s="249">
        <f t="shared" si="4"/>
        <v>23859.723557439876</v>
      </c>
      <c r="AX68" s="249">
        <f t="shared" si="13"/>
        <v>250.0598834692598</v>
      </c>
      <c r="AY68" s="249">
        <f t="shared" si="14"/>
        <v>43381.315558981558</v>
      </c>
      <c r="AZ68" s="249">
        <f t="shared" si="5"/>
        <v>4338.131555898156</v>
      </c>
    </row>
    <row r="69" spans="15:52">
      <c r="O69" s="239" t="str">
        <f>'tillage data'!T44</f>
        <v>Minimum till ripper - 22 ft 6 in</v>
      </c>
      <c r="P69" s="239" t="str">
        <f>'tillage data'!U44</f>
        <v>Minimum till ripper</v>
      </c>
      <c r="Q69" s="239" t="str">
        <f>'tillage data'!V44</f>
        <v>22 ft 6 in</v>
      </c>
      <c r="R69" s="239">
        <f>'tillage data'!W44</f>
        <v>37629</v>
      </c>
      <c r="S69" s="239">
        <f>'tillage data'!X44</f>
        <v>5</v>
      </c>
      <c r="T69" s="239">
        <f>'tillage data'!Y44</f>
        <v>22.5</v>
      </c>
      <c r="U69" s="239">
        <f>'tillage data'!Z44</f>
        <v>0.82499999999999996</v>
      </c>
      <c r="V69" s="239">
        <f>'tillage data'!AA44</f>
        <v>0.85</v>
      </c>
      <c r="W69" s="239">
        <f>'tillage data'!AB44</f>
        <v>90</v>
      </c>
      <c r="X69" s="239">
        <f>'tillage data'!AC44</f>
        <v>70</v>
      </c>
      <c r="Y69" s="239">
        <f>'tillage data'!AD44</f>
        <v>125</v>
      </c>
      <c r="Z69" s="239">
        <f>'tillage data'!AE44</f>
        <v>10</v>
      </c>
      <c r="AA69" s="239">
        <f>'tillage data'!AF44</f>
        <v>17</v>
      </c>
      <c r="AB69" s="239">
        <f>'tillage data'!AG44</f>
        <v>14</v>
      </c>
      <c r="AC69" s="239">
        <v>440</v>
      </c>
      <c r="AI69" s="175"/>
      <c r="AL69" s="239">
        <v>40</v>
      </c>
      <c r="AM69" s="249">
        <f t="shared" si="7"/>
        <v>98.962728973413448</v>
      </c>
      <c r="AN69" s="249">
        <f t="shared" si="19"/>
        <v>34351.747266805774</v>
      </c>
      <c r="AO69" s="249">
        <f t="shared" si="2"/>
        <v>3435.1747266805774</v>
      </c>
      <c r="AP69" s="249">
        <f t="shared" si="20"/>
        <v>17.993223449711536</v>
      </c>
      <c r="AQ69" s="249">
        <f t="shared" si="21"/>
        <v>6245.7722303283217</v>
      </c>
      <c r="AR69" s="249">
        <f t="shared" si="3"/>
        <v>624.57722303283219</v>
      </c>
      <c r="AT69" s="239">
        <v>40</v>
      </c>
      <c r="AU69" s="249">
        <f t="shared" si="11"/>
        <v>1292.8095975360732</v>
      </c>
      <c r="AV69" s="249">
        <f t="shared" si="12"/>
        <v>239890.04517193485</v>
      </c>
      <c r="AW69" s="249">
        <f t="shared" si="4"/>
        <v>23989.004517193483</v>
      </c>
      <c r="AX69" s="249">
        <f t="shared" si="13"/>
        <v>235.05629046110423</v>
      </c>
      <c r="AY69" s="249">
        <f t="shared" si="14"/>
        <v>43616.371849442665</v>
      </c>
      <c r="AZ69" s="249">
        <f t="shared" si="5"/>
        <v>4361.6371849442667</v>
      </c>
    </row>
    <row r="70" spans="15:52">
      <c r="O70" s="239" t="str">
        <f>'tillage data'!T45</f>
        <v>Mulch finisher (disk, chisel, and drag) - 24 ft 9"</v>
      </c>
      <c r="P70" s="239" t="str">
        <f>'tillage data'!U45</f>
        <v>Mulch finisher (disk, chisel, and drag)</v>
      </c>
      <c r="Q70" s="239" t="str">
        <f>'tillage data'!V45</f>
        <v>24 ft 9"</v>
      </c>
      <c r="R70" s="239">
        <f>'tillage data'!W45</f>
        <v>109581</v>
      </c>
      <c r="S70" s="239">
        <f>'tillage data'!X45</f>
        <v>6</v>
      </c>
      <c r="T70" s="239">
        <f>'tillage data'!Y45</f>
        <v>24.75</v>
      </c>
      <c r="U70" s="239">
        <f>'tillage data'!Z45</f>
        <v>0.82499999999999996</v>
      </c>
      <c r="V70" s="239">
        <f>'tillage data'!AA45</f>
        <v>0.85</v>
      </c>
      <c r="W70" s="239">
        <f>'tillage data'!AB45</f>
        <v>90</v>
      </c>
      <c r="X70" s="239">
        <f>'tillage data'!AC45</f>
        <v>70</v>
      </c>
      <c r="Y70" s="239">
        <f>'tillage data'!AD45</f>
        <v>125</v>
      </c>
      <c r="Z70" s="239">
        <f>'tillage data'!AE45</f>
        <v>10</v>
      </c>
      <c r="AA70" s="239">
        <f>'tillage data'!AF45</f>
        <v>10</v>
      </c>
      <c r="AB70" s="239">
        <f>'tillage data'!AG45</f>
        <v>5</v>
      </c>
      <c r="AC70" s="239">
        <v>590</v>
      </c>
      <c r="AI70" s="175"/>
      <c r="AL70" s="239">
        <v>41</v>
      </c>
      <c r="AM70" s="249">
        <f t="shared" si="7"/>
        <v>91.04571065554039</v>
      </c>
      <c r="AN70" s="249">
        <f t="shared" si="19"/>
        <v>34442.792977461315</v>
      </c>
      <c r="AO70" s="249">
        <f t="shared" si="2"/>
        <v>3444.2792977461313</v>
      </c>
      <c r="AP70" s="249">
        <f t="shared" si="20"/>
        <v>16.553765573734616</v>
      </c>
      <c r="AQ70" s="249">
        <f t="shared" si="21"/>
        <v>6262.3259959020561</v>
      </c>
      <c r="AR70" s="249">
        <f t="shared" si="3"/>
        <v>626.23259959020561</v>
      </c>
      <c r="AT70" s="239">
        <v>41</v>
      </c>
      <c r="AU70" s="249">
        <f t="shared" si="11"/>
        <v>1215.2410216839087</v>
      </c>
      <c r="AV70" s="249">
        <f t="shared" si="12"/>
        <v>241105.28619361875</v>
      </c>
      <c r="AW70" s="249">
        <f t="shared" si="4"/>
        <v>24110.528619361874</v>
      </c>
      <c r="AX70" s="249">
        <f t="shared" si="13"/>
        <v>220.95291303343794</v>
      </c>
      <c r="AY70" s="249">
        <f t="shared" si="14"/>
        <v>43837.324762476106</v>
      </c>
      <c r="AZ70" s="249">
        <f t="shared" si="5"/>
        <v>4383.732476247611</v>
      </c>
    </row>
    <row r="71" spans="15:52">
      <c r="O71" s="239" t="str">
        <f>'tillage data'!T46</f>
        <v>Mulch finisher (disk, chisel, and drag) - 27 ft 9"</v>
      </c>
      <c r="P71" s="239" t="str">
        <f>'tillage data'!U46</f>
        <v>Mulch finisher (disk, chisel, and drag)</v>
      </c>
      <c r="Q71" s="239" t="str">
        <f>'tillage data'!V46</f>
        <v>27 ft 9"</v>
      </c>
      <c r="R71" s="239">
        <f>'tillage data'!W46</f>
        <v>125486</v>
      </c>
      <c r="S71" s="239">
        <f>'tillage data'!X46</f>
        <v>6</v>
      </c>
      <c r="T71" s="239">
        <f>'tillage data'!Y46</f>
        <v>27.75</v>
      </c>
      <c r="U71" s="239">
        <f>'tillage data'!Z46</f>
        <v>0.82499999999999996</v>
      </c>
      <c r="V71" s="239">
        <f>'tillage data'!AA46</f>
        <v>0.85</v>
      </c>
      <c r="W71" s="239">
        <f>'tillage data'!AB46</f>
        <v>90</v>
      </c>
      <c r="X71" s="239">
        <f>'tillage data'!AC46</f>
        <v>70</v>
      </c>
      <c r="Y71" s="239">
        <f>'tillage data'!AD46</f>
        <v>125</v>
      </c>
      <c r="Z71" s="239">
        <f>'tillage data'!AE46</f>
        <v>10</v>
      </c>
      <c r="AA71" s="239">
        <f>'tillage data'!AF46</f>
        <v>11</v>
      </c>
      <c r="AB71" s="239">
        <f>'tillage data'!AG46</f>
        <v>5</v>
      </c>
      <c r="AC71" s="239">
        <v>205</v>
      </c>
      <c r="AI71" s="175"/>
      <c r="AL71" s="239">
        <v>42</v>
      </c>
      <c r="AM71" s="249">
        <f t="shared" si="7"/>
        <v>83.762053803097146</v>
      </c>
      <c r="AN71" s="249">
        <f t="shared" si="19"/>
        <v>34526.555031264412</v>
      </c>
      <c r="AO71" s="249">
        <f t="shared" si="2"/>
        <v>3452.6555031264411</v>
      </c>
      <c r="AP71" s="249">
        <f t="shared" si="20"/>
        <v>15.229464327835844</v>
      </c>
      <c r="AQ71" s="249">
        <f t="shared" si="21"/>
        <v>6277.5554602298917</v>
      </c>
      <c r="AR71" s="249">
        <f t="shared" si="3"/>
        <v>627.75554602298917</v>
      </c>
      <c r="AT71" s="239">
        <v>42</v>
      </c>
      <c r="AU71" s="249">
        <f t="shared" si="11"/>
        <v>1142.3265603828743</v>
      </c>
      <c r="AV71" s="249">
        <f t="shared" si="12"/>
        <v>242247.61275400163</v>
      </c>
      <c r="AW71" s="249">
        <f t="shared" si="4"/>
        <v>24224.761275400164</v>
      </c>
      <c r="AX71" s="249">
        <f t="shared" si="13"/>
        <v>207.69573825143169</v>
      </c>
      <c r="AY71" s="249">
        <f t="shared" si="14"/>
        <v>44045.020500727536</v>
      </c>
      <c r="AZ71" s="249">
        <f t="shared" si="5"/>
        <v>4404.5020500727533</v>
      </c>
    </row>
    <row r="72" spans="15:52">
      <c r="O72" s="239" t="str">
        <f>'tillage data'!T47</f>
        <v>Mulch finisher (disk, chisel, and drag) - 30 ft 9"</v>
      </c>
      <c r="P72" s="239" t="str">
        <f>'tillage data'!U47</f>
        <v>Mulch finisher (disk, chisel, and drag)</v>
      </c>
      <c r="Q72" s="239" t="str">
        <f>'tillage data'!V47</f>
        <v>30 ft 9"</v>
      </c>
      <c r="R72" s="239">
        <f>'tillage data'!W47</f>
        <v>140519</v>
      </c>
      <c r="S72" s="239">
        <f>'tillage data'!X47</f>
        <v>6</v>
      </c>
      <c r="T72" s="239">
        <f>'tillage data'!Y47</f>
        <v>30.75</v>
      </c>
      <c r="U72" s="239">
        <f>'tillage data'!Z47</f>
        <v>0.82499999999999996</v>
      </c>
      <c r="V72" s="239">
        <f>'tillage data'!AA47</f>
        <v>0.85</v>
      </c>
      <c r="W72" s="239">
        <f>'tillage data'!AB47</f>
        <v>90</v>
      </c>
      <c r="X72" s="239">
        <f>'tillage data'!AC47</f>
        <v>70</v>
      </c>
      <c r="Y72" s="239">
        <f>'tillage data'!AD47</f>
        <v>125</v>
      </c>
      <c r="Z72" s="239">
        <f>'tillage data'!AE47</f>
        <v>10</v>
      </c>
      <c r="AA72" s="239">
        <f>'tillage data'!AF47</f>
        <v>12</v>
      </c>
      <c r="AB72" s="239">
        <f>'tillage data'!AG47</f>
        <v>5</v>
      </c>
      <c r="AC72" s="239">
        <v>225</v>
      </c>
      <c r="AI72" s="175"/>
      <c r="AL72" s="239">
        <v>43</v>
      </c>
      <c r="AM72" s="249">
        <f t="shared" si="7"/>
        <v>77.06108949884937</v>
      </c>
      <c r="AN72" s="249">
        <f t="shared" si="19"/>
        <v>34603.616120763261</v>
      </c>
      <c r="AO72" s="249">
        <f t="shared" si="2"/>
        <v>3460.3616120763263</v>
      </c>
      <c r="AP72" s="249">
        <f t="shared" si="20"/>
        <v>14.011107181608978</v>
      </c>
      <c r="AQ72" s="249">
        <f t="shared" si="21"/>
        <v>6291.5665674115007</v>
      </c>
      <c r="AR72" s="249">
        <f t="shared" si="3"/>
        <v>629.15665674115007</v>
      </c>
      <c r="AT72" s="239">
        <v>43</v>
      </c>
      <c r="AU72" s="249">
        <f t="shared" si="11"/>
        <v>1073.7869667599018</v>
      </c>
      <c r="AV72" s="249">
        <f t="shared" si="12"/>
        <v>243321.39972076155</v>
      </c>
      <c r="AW72" s="249">
        <f t="shared" si="4"/>
        <v>24332.139972076155</v>
      </c>
      <c r="AX72" s="249">
        <f t="shared" si="13"/>
        <v>195.23399395634581</v>
      </c>
      <c r="AY72" s="249">
        <f t="shared" si="14"/>
        <v>44240.254494683883</v>
      </c>
      <c r="AZ72" s="249">
        <f t="shared" si="5"/>
        <v>4424.0254494683886</v>
      </c>
    </row>
    <row r="73" spans="15:52">
      <c r="O73" s="239" t="str">
        <f>'tillage data'!T48</f>
        <v>Mulch finisher (disk, chisel, and drag) - 33 ft 9"</v>
      </c>
      <c r="P73" s="239" t="str">
        <f>'tillage data'!U48</f>
        <v>Mulch finisher (disk, chisel, and drag)</v>
      </c>
      <c r="Q73" s="239" t="str">
        <f>'tillage data'!V48</f>
        <v>33 ft 9"</v>
      </c>
      <c r="R73" s="239">
        <f>'tillage data'!W48</f>
        <v>148249</v>
      </c>
      <c r="S73" s="239">
        <f>'tillage data'!X48</f>
        <v>6</v>
      </c>
      <c r="T73" s="239">
        <f>'tillage data'!Y48</f>
        <v>33.75</v>
      </c>
      <c r="U73" s="239">
        <f>'tillage data'!Z48</f>
        <v>0.82499999999999996</v>
      </c>
      <c r="V73" s="239">
        <f>'tillage data'!AA48</f>
        <v>0.85</v>
      </c>
      <c r="W73" s="239">
        <f>'tillage data'!AB48</f>
        <v>90</v>
      </c>
      <c r="X73" s="239">
        <f>'tillage data'!AC48</f>
        <v>70</v>
      </c>
      <c r="Y73" s="239">
        <f>'tillage data'!AD48</f>
        <v>125</v>
      </c>
      <c r="Z73" s="239">
        <f>'tillage data'!AE48</f>
        <v>10</v>
      </c>
      <c r="AA73" s="239">
        <f>'tillage data'!AF48</f>
        <v>12</v>
      </c>
      <c r="AB73" s="239">
        <f>'tillage data'!AG48</f>
        <v>5</v>
      </c>
      <c r="AC73" s="239">
        <v>120</v>
      </c>
      <c r="AI73" s="175"/>
      <c r="AL73" s="239">
        <v>44</v>
      </c>
      <c r="AM73" s="249">
        <f t="shared" si="7"/>
        <v>70.896202338941421</v>
      </c>
      <c r="AN73" s="249">
        <f t="shared" si="19"/>
        <v>34674.512323102201</v>
      </c>
      <c r="AO73" s="249">
        <f t="shared" si="2"/>
        <v>3467.4512323102199</v>
      </c>
      <c r="AP73" s="249">
        <f t="shared" si="20"/>
        <v>12.890218607080257</v>
      </c>
      <c r="AQ73" s="249">
        <f t="shared" si="21"/>
        <v>6304.4567860185807</v>
      </c>
      <c r="AR73" s="249">
        <f t="shared" si="3"/>
        <v>630.44567860185805</v>
      </c>
      <c r="AT73" s="239">
        <v>44</v>
      </c>
      <c r="AU73" s="249">
        <f t="shared" si="11"/>
        <v>1009.3597487543077</v>
      </c>
      <c r="AV73" s="249">
        <f t="shared" si="12"/>
        <v>244330.75946951585</v>
      </c>
      <c r="AW73" s="249">
        <f t="shared" si="4"/>
        <v>24433.075946951583</v>
      </c>
      <c r="AX73" s="249">
        <f t="shared" si="13"/>
        <v>183.51995431896503</v>
      </c>
      <c r="AY73" s="249">
        <f t="shared" si="14"/>
        <v>44423.774449002849</v>
      </c>
      <c r="AZ73" s="249">
        <f t="shared" si="5"/>
        <v>4442.3774449002849</v>
      </c>
    </row>
    <row r="74" spans="15:52">
      <c r="O74" s="239" t="str">
        <f>'tillage data'!T49</f>
        <v>Mulch finisher (disk, chisel, and drag) - 38 ft 3"</v>
      </c>
      <c r="P74" s="239" t="str">
        <f>'tillage data'!U49</f>
        <v>Mulch finisher (disk, chisel, and drag)</v>
      </c>
      <c r="Q74" s="239" t="str">
        <f>'tillage data'!V49</f>
        <v>38 ft 3"</v>
      </c>
      <c r="R74" s="239">
        <f>'tillage data'!W49</f>
        <v>171221</v>
      </c>
      <c r="S74" s="239">
        <f>'tillage data'!X49</f>
        <v>6</v>
      </c>
      <c r="T74" s="239">
        <f>'tillage data'!Y49</f>
        <v>38.25</v>
      </c>
      <c r="U74" s="239">
        <f>'tillage data'!Z49</f>
        <v>0.82499999999999996</v>
      </c>
      <c r="V74" s="239">
        <f>'tillage data'!AA49</f>
        <v>0.85</v>
      </c>
      <c r="W74" s="239">
        <f>'tillage data'!AB49</f>
        <v>90</v>
      </c>
      <c r="X74" s="239">
        <f>'tillage data'!AC49</f>
        <v>70</v>
      </c>
      <c r="Y74" s="239">
        <f>'tillage data'!AD49</f>
        <v>125</v>
      </c>
      <c r="Z74" s="239">
        <f>'tillage data'!AE49</f>
        <v>10</v>
      </c>
      <c r="AA74" s="239">
        <f>'tillage data'!AF49</f>
        <v>13</v>
      </c>
      <c r="AB74" s="239">
        <f>'tillage data'!AG49</f>
        <v>5</v>
      </c>
      <c r="AC74" s="239">
        <v>140</v>
      </c>
      <c r="AI74" s="175"/>
      <c r="AL74" s="239">
        <v>45</v>
      </c>
      <c r="AM74" s="249">
        <f t="shared" si="7"/>
        <v>65.224506151826105</v>
      </c>
      <c r="AN74" s="249">
        <f t="shared" si="19"/>
        <v>34739.736829254027</v>
      </c>
      <c r="AO74" s="249">
        <f t="shared" si="2"/>
        <v>3473.9736829254025</v>
      </c>
      <c r="AP74" s="249">
        <f t="shared" si="20"/>
        <v>11.859001118513838</v>
      </c>
      <c r="AQ74" s="249">
        <f t="shared" si="21"/>
        <v>6316.315787137095</v>
      </c>
      <c r="AR74" s="249">
        <f t="shared" si="3"/>
        <v>631.63157871370947</v>
      </c>
      <c r="AT74" s="239">
        <v>45</v>
      </c>
      <c r="AU74" s="249">
        <f t="shared" si="11"/>
        <v>948.79816382904914</v>
      </c>
      <c r="AV74" s="249">
        <f t="shared" si="12"/>
        <v>245279.5576333449</v>
      </c>
      <c r="AW74" s="249">
        <f t="shared" si="4"/>
        <v>24527.955763334488</v>
      </c>
      <c r="AX74" s="249">
        <f t="shared" si="13"/>
        <v>172.5087570598271</v>
      </c>
      <c r="AY74" s="249">
        <f t="shared" si="14"/>
        <v>44596.283206062675</v>
      </c>
      <c r="AZ74" s="249">
        <f t="shared" si="5"/>
        <v>4459.6283206062672</v>
      </c>
    </row>
    <row r="75" spans="15:52">
      <c r="O75" s="239" t="str">
        <f>'tillage data'!T50</f>
        <v>Mulch finisher (disk, chisel, and drag) - 44 ft 3"</v>
      </c>
      <c r="P75" s="239" t="str">
        <f>'tillage data'!U50</f>
        <v>Mulch finisher (disk, chisel, and drag)</v>
      </c>
      <c r="Q75" s="239" t="str">
        <f>'tillage data'!V50</f>
        <v>44 ft 3"</v>
      </c>
      <c r="R75" s="239">
        <f>'tillage data'!W50</f>
        <v>202286</v>
      </c>
      <c r="S75" s="239">
        <f>'tillage data'!X50</f>
        <v>6</v>
      </c>
      <c r="T75" s="239">
        <f>'tillage data'!Y50</f>
        <v>44.25</v>
      </c>
      <c r="U75" s="239">
        <f>'tillage data'!Z50</f>
        <v>0.82499999999999996</v>
      </c>
      <c r="V75" s="239">
        <f>'tillage data'!AA50</f>
        <v>0.85</v>
      </c>
      <c r="W75" s="239">
        <f>'tillage data'!AB50</f>
        <v>90</v>
      </c>
      <c r="X75" s="239">
        <f>'tillage data'!AC50</f>
        <v>70</v>
      </c>
      <c r="Y75" s="239">
        <f>'tillage data'!AD50</f>
        <v>125</v>
      </c>
      <c r="Z75" s="239">
        <f>'tillage data'!AE50</f>
        <v>10</v>
      </c>
      <c r="AA75" s="239">
        <f>'tillage data'!AF50</f>
        <v>14</v>
      </c>
      <c r="AB75" s="239">
        <f>'tillage data'!AG50</f>
        <v>5</v>
      </c>
      <c r="AC75" s="239">
        <v>175</v>
      </c>
      <c r="AI75" s="175"/>
      <c r="AL75" s="239">
        <v>46</v>
      </c>
      <c r="AM75" s="249">
        <f t="shared" si="7"/>
        <v>60.006545659680029</v>
      </c>
      <c r="AN75" s="249">
        <f t="shared" si="19"/>
        <v>34799.743374913705</v>
      </c>
      <c r="AO75" s="249">
        <f t="shared" si="2"/>
        <v>3479.9743374913705</v>
      </c>
      <c r="AP75" s="249">
        <f t="shared" si="20"/>
        <v>10.910281029032733</v>
      </c>
      <c r="AQ75" s="249">
        <f t="shared" si="21"/>
        <v>6327.2260681661273</v>
      </c>
      <c r="AR75" s="249">
        <f t="shared" si="3"/>
        <v>632.72260681661271</v>
      </c>
      <c r="AT75" s="239">
        <v>46</v>
      </c>
      <c r="AU75" s="249">
        <f t="shared" si="11"/>
        <v>891.87027399930628</v>
      </c>
      <c r="AV75" s="249">
        <f t="shared" si="12"/>
        <v>246171.42790734422</v>
      </c>
      <c r="AW75" s="249">
        <f t="shared" si="4"/>
        <v>24617.142790734422</v>
      </c>
      <c r="AX75" s="249">
        <f t="shared" si="13"/>
        <v>162.1582316362375</v>
      </c>
      <c r="AY75" s="249">
        <f t="shared" si="14"/>
        <v>44758.441437698915</v>
      </c>
      <c r="AZ75" s="249">
        <f t="shared" si="5"/>
        <v>4475.8441437698912</v>
      </c>
    </row>
    <row r="76" spans="15:52">
      <c r="O76" s="239" t="str">
        <f>'tillage data'!T51</f>
        <v>Mulch finisher (disk, chisel, and drag) - 50 ft 3"</v>
      </c>
      <c r="P76" s="239" t="str">
        <f>'tillage data'!U51</f>
        <v>Mulch finisher (disk, chisel, and drag)</v>
      </c>
      <c r="Q76" s="239" t="str">
        <f>'tillage data'!V51</f>
        <v>50 ft 3"</v>
      </c>
      <c r="R76" s="239">
        <f>'tillage data'!W51</f>
        <v>225755</v>
      </c>
      <c r="S76" s="239">
        <f>'tillage data'!X51</f>
        <v>6</v>
      </c>
      <c r="T76" s="239">
        <f>'tillage data'!Y51</f>
        <v>50.25</v>
      </c>
      <c r="U76" s="239">
        <f>'tillage data'!Z51</f>
        <v>0.82499999999999996</v>
      </c>
      <c r="V76" s="239">
        <f>'tillage data'!AA51</f>
        <v>0.85</v>
      </c>
      <c r="W76" s="239">
        <f>'tillage data'!AB51</f>
        <v>90</v>
      </c>
      <c r="X76" s="239">
        <f>'tillage data'!AC51</f>
        <v>70</v>
      </c>
      <c r="Y76" s="239">
        <f>'tillage data'!AD51</f>
        <v>125</v>
      </c>
      <c r="Z76" s="239">
        <f>'tillage data'!AE51</f>
        <v>10</v>
      </c>
      <c r="AA76" s="239">
        <f>'tillage data'!AF51</f>
        <v>16</v>
      </c>
      <c r="AB76" s="239">
        <f>'tillage data'!AG51</f>
        <v>5</v>
      </c>
      <c r="AC76" s="239">
        <v>205</v>
      </c>
      <c r="AI76" s="175"/>
      <c r="AL76" s="239">
        <v>47</v>
      </c>
      <c r="AM76" s="249">
        <f t="shared" si="7"/>
        <v>55.206022006905627</v>
      </c>
      <c r="AN76" s="249">
        <f t="shared" si="19"/>
        <v>34854.949396920609</v>
      </c>
      <c r="AO76" s="249">
        <f t="shared" si="2"/>
        <v>3485.4949396920611</v>
      </c>
      <c r="AP76" s="249">
        <f t="shared" si="20"/>
        <v>10.037458546710115</v>
      </c>
      <c r="AQ76" s="249">
        <f t="shared" si="21"/>
        <v>6337.2635267128371</v>
      </c>
      <c r="AR76" s="249">
        <f t="shared" si="3"/>
        <v>633.72635267128373</v>
      </c>
      <c r="AT76" s="239">
        <v>47</v>
      </c>
      <c r="AU76" s="249">
        <f t="shared" si="11"/>
        <v>838.3580575593478</v>
      </c>
      <c r="AV76" s="249">
        <f t="shared" si="12"/>
        <v>247009.78596490357</v>
      </c>
      <c r="AW76" s="249">
        <f t="shared" si="4"/>
        <v>24700.978596490357</v>
      </c>
      <c r="AX76" s="249">
        <f t="shared" si="13"/>
        <v>152.42873773806323</v>
      </c>
      <c r="AY76" s="249">
        <f t="shared" si="14"/>
        <v>44910.870175436976</v>
      </c>
      <c r="AZ76" s="249">
        <f t="shared" si="5"/>
        <v>4491.0870175436976</v>
      </c>
    </row>
    <row r="77" spans="15:52">
      <c r="O77" s="239" t="str">
        <f>'tillage data'!T52</f>
        <v>Mulch finisher (disk, chisel, and drag) - 56 ft 3"</v>
      </c>
      <c r="P77" s="239" t="str">
        <f>'tillage data'!U52</f>
        <v>Mulch finisher (disk, chisel, and drag)</v>
      </c>
      <c r="Q77" s="239" t="str">
        <f>'tillage data'!V52</f>
        <v>56 ft 3"</v>
      </c>
      <c r="R77" s="239">
        <f>'tillage data'!W52</f>
        <v>241244</v>
      </c>
      <c r="S77" s="239">
        <f>'tillage data'!X52</f>
        <v>6</v>
      </c>
      <c r="T77" s="239">
        <f>'tillage data'!Y52</f>
        <v>56.25</v>
      </c>
      <c r="U77" s="239">
        <f>'tillage data'!Z52</f>
        <v>0.82499999999999996</v>
      </c>
      <c r="V77" s="239">
        <f>'tillage data'!AA52</f>
        <v>0.85</v>
      </c>
      <c r="W77" s="239">
        <f>'tillage data'!AB52</f>
        <v>90</v>
      </c>
      <c r="X77" s="239">
        <f>'tillage data'!AC52</f>
        <v>70</v>
      </c>
      <c r="Y77" s="239">
        <f>'tillage data'!AD52</f>
        <v>125</v>
      </c>
      <c r="Z77" s="239">
        <f>'tillage data'!AE52</f>
        <v>10</v>
      </c>
      <c r="AA77" s="239">
        <f>'tillage data'!AF52</f>
        <v>17</v>
      </c>
      <c r="AB77" s="239">
        <f>'tillage data'!AG52</f>
        <v>5</v>
      </c>
      <c r="AC77" s="239">
        <v>240</v>
      </c>
      <c r="AI77" s="175"/>
      <c r="AL77" s="239">
        <v>48</v>
      </c>
      <c r="AM77" s="249">
        <f t="shared" si="7"/>
        <v>50.789540246353177</v>
      </c>
      <c r="AN77" s="249">
        <f t="shared" si="19"/>
        <v>34905.738937166963</v>
      </c>
      <c r="AO77" s="249">
        <f t="shared" si="2"/>
        <v>3490.5738937166961</v>
      </c>
      <c r="AP77" s="249">
        <f t="shared" si="20"/>
        <v>9.2344618629733048</v>
      </c>
      <c r="AQ77" s="249">
        <f t="shared" si="21"/>
        <v>6346.4979885758103</v>
      </c>
      <c r="AR77" s="249">
        <f t="shared" si="3"/>
        <v>634.649798857581</v>
      </c>
      <c r="AT77" s="239">
        <v>48</v>
      </c>
      <c r="AU77" s="249">
        <f t="shared" si="11"/>
        <v>788.05657410578692</v>
      </c>
      <c r="AV77" s="249">
        <f t="shared" si="12"/>
        <v>247797.84253900935</v>
      </c>
      <c r="AW77" s="249">
        <f t="shared" si="4"/>
        <v>24779.784253900936</v>
      </c>
      <c r="AX77" s="249">
        <f t="shared" si="13"/>
        <v>143.28301347377945</v>
      </c>
      <c r="AY77" s="249">
        <f t="shared" si="14"/>
        <v>45054.153188910757</v>
      </c>
      <c r="AZ77" s="249">
        <f t="shared" si="5"/>
        <v>4505.4153188910759</v>
      </c>
    </row>
    <row r="78" spans="15:52">
      <c r="O78" s="239" t="str">
        <f>'tillage data'!T53</f>
        <v>Field cultivator - 25 ft. 6 in.</v>
      </c>
      <c r="P78" s="239" t="str">
        <f>'tillage data'!U53</f>
        <v>Field cultivator</v>
      </c>
      <c r="Q78" s="239" t="str">
        <f>'tillage data'!V53</f>
        <v>25 ft. 6 in.</v>
      </c>
      <c r="R78" s="239">
        <f>'tillage data'!W53</f>
        <v>59846</v>
      </c>
      <c r="S78" s="239">
        <f>'tillage data'!X53</f>
        <v>6.5</v>
      </c>
      <c r="T78" s="239">
        <f>'tillage data'!Y53</f>
        <v>25.5</v>
      </c>
      <c r="U78" s="239">
        <f>'tillage data'!Z53</f>
        <v>0.83</v>
      </c>
      <c r="V78" s="239">
        <f>'tillage data'!AA53</f>
        <v>0.85</v>
      </c>
      <c r="W78" s="239">
        <f>'tillage data'!AB53</f>
        <v>118.35</v>
      </c>
      <c r="X78" s="239">
        <f>'tillage data'!AC53</f>
        <v>70</v>
      </c>
      <c r="Y78" s="239">
        <f>'tillage data'!AD53</f>
        <v>125</v>
      </c>
      <c r="Z78" s="239">
        <f>'tillage data'!AE53</f>
        <v>10</v>
      </c>
      <c r="AA78" s="239">
        <f>'tillage data'!AF53</f>
        <v>10</v>
      </c>
      <c r="AB78" s="239">
        <f>'tillage data'!AG53</f>
        <v>5</v>
      </c>
      <c r="AC78" s="239">
        <v>260</v>
      </c>
      <c r="AI78" s="175"/>
      <c r="AL78" s="239">
        <v>49</v>
      </c>
      <c r="AM78" s="249">
        <f t="shared" si="7"/>
        <v>46.726377026644926</v>
      </c>
      <c r="AN78" s="249">
        <f t="shared" si="19"/>
        <v>34952.465314193607</v>
      </c>
      <c r="AO78" s="249">
        <f t="shared" si="2"/>
        <v>3495.2465314193605</v>
      </c>
      <c r="AP78" s="249">
        <f t="shared" si="20"/>
        <v>8.495704913935441</v>
      </c>
      <c r="AQ78" s="249">
        <f t="shared" si="21"/>
        <v>6354.993693489746</v>
      </c>
      <c r="AR78" s="249">
        <f t="shared" si="3"/>
        <v>635.4993693489746</v>
      </c>
      <c r="AT78" s="239">
        <v>49</v>
      </c>
      <c r="AU78" s="249">
        <f t="shared" si="11"/>
        <v>740.77317965943973</v>
      </c>
      <c r="AV78" s="249">
        <f t="shared" si="12"/>
        <v>248538.61571866879</v>
      </c>
      <c r="AW78" s="249">
        <f t="shared" si="4"/>
        <v>24853.861571866881</v>
      </c>
      <c r="AX78" s="249">
        <f t="shared" si="13"/>
        <v>134.68603266535268</v>
      </c>
      <c r="AY78" s="249">
        <f t="shared" si="14"/>
        <v>45188.839221576112</v>
      </c>
      <c r="AZ78" s="249">
        <f t="shared" si="5"/>
        <v>4518.8839221576109</v>
      </c>
    </row>
    <row r="79" spans="15:52">
      <c r="O79" s="239" t="str">
        <f>'tillage data'!T54</f>
        <v>Field cultivator - 31 ft. 6 in,</v>
      </c>
      <c r="P79" s="239" t="str">
        <f>'tillage data'!U54</f>
        <v>Field cultivator</v>
      </c>
      <c r="Q79" s="239" t="str">
        <f>'tillage data'!V54</f>
        <v>31 ft. 6 in,</v>
      </c>
      <c r="R79" s="239">
        <f>'tillage data'!W54</f>
        <v>68381</v>
      </c>
      <c r="S79" s="239">
        <f>'tillage data'!X54</f>
        <v>6.5</v>
      </c>
      <c r="T79" s="239">
        <f>'tillage data'!Y54</f>
        <v>31.5</v>
      </c>
      <c r="U79" s="239">
        <f>'tillage data'!Z54</f>
        <v>0.83</v>
      </c>
      <c r="V79" s="239">
        <f>'tillage data'!AA54</f>
        <v>0.85</v>
      </c>
      <c r="W79" s="239">
        <f>'tillage data'!AB54</f>
        <v>118.35</v>
      </c>
      <c r="X79" s="239">
        <f>'tillage data'!AC54</f>
        <v>70</v>
      </c>
      <c r="Y79" s="239">
        <f>'tillage data'!AD54</f>
        <v>125</v>
      </c>
      <c r="Z79" s="239">
        <f>'tillage data'!AE54</f>
        <v>10</v>
      </c>
      <c r="AA79" s="239">
        <f>'tillage data'!AF54</f>
        <v>10</v>
      </c>
      <c r="AB79" s="239">
        <f>'tillage data'!AG54</f>
        <v>5</v>
      </c>
      <c r="AC79" s="239">
        <v>310</v>
      </c>
      <c r="AI79" s="175"/>
      <c r="AL79" s="239">
        <v>50</v>
      </c>
      <c r="AM79" s="249">
        <f t="shared" si="7"/>
        <v>42.988266864513335</v>
      </c>
      <c r="AN79" s="249">
        <f t="shared" si="19"/>
        <v>34995.453581058122</v>
      </c>
      <c r="AO79" s="249">
        <f t="shared" si="2"/>
        <v>3499.5453581058123</v>
      </c>
      <c r="AP79" s="249">
        <f t="shared" si="20"/>
        <v>7.8160485208206056</v>
      </c>
      <c r="AQ79" s="249">
        <f t="shared" si="21"/>
        <v>6362.8097420105669</v>
      </c>
      <c r="AR79" s="249">
        <f t="shared" si="3"/>
        <v>636.28097420105667</v>
      </c>
      <c r="AT79" s="239">
        <v>50</v>
      </c>
      <c r="AU79" s="249">
        <f t="shared" si="11"/>
        <v>696.32678887987333</v>
      </c>
      <c r="AV79" s="249">
        <f t="shared" si="12"/>
        <v>249234.94250754867</v>
      </c>
      <c r="AW79" s="249">
        <f t="shared" si="4"/>
        <v>24923.494250754866</v>
      </c>
      <c r="AX79" s="249">
        <f t="shared" si="13"/>
        <v>126.60487070543151</v>
      </c>
      <c r="AY79" s="249">
        <f t="shared" si="14"/>
        <v>45315.444092281541</v>
      </c>
      <c r="AZ79" s="249">
        <f t="shared" si="5"/>
        <v>4531.5444092281541</v>
      </c>
    </row>
    <row r="80" spans="15:52">
      <c r="O80" s="239" t="str">
        <f>'tillage data'!T55</f>
        <v>Field cultivator - 40 ft. 6 in.</v>
      </c>
      <c r="P80" s="239" t="str">
        <f>'tillage data'!U55</f>
        <v>Field cultivator</v>
      </c>
      <c r="Q80" s="239" t="str">
        <f>'tillage data'!V55</f>
        <v>40 ft. 6 in.</v>
      </c>
      <c r="R80" s="239">
        <f>'tillage data'!W55</f>
        <v>82834</v>
      </c>
      <c r="S80" s="239">
        <f>'tillage data'!X55</f>
        <v>6.5</v>
      </c>
      <c r="T80" s="239">
        <f>'tillage data'!Y55</f>
        <v>40.5</v>
      </c>
      <c r="U80" s="239">
        <f>'tillage data'!Z55</f>
        <v>0.83</v>
      </c>
      <c r="V80" s="239">
        <f>'tillage data'!AA55</f>
        <v>0.85</v>
      </c>
      <c r="W80" s="239">
        <f>'tillage data'!AB55</f>
        <v>118.35</v>
      </c>
      <c r="X80" s="239">
        <f>'tillage data'!AC55</f>
        <v>70</v>
      </c>
      <c r="Y80" s="239">
        <f>'tillage data'!AD55</f>
        <v>125</v>
      </c>
      <c r="Z80" s="239">
        <f>'tillage data'!AE55</f>
        <v>10</v>
      </c>
      <c r="AA80" s="239">
        <f>'tillage data'!AF55</f>
        <v>12</v>
      </c>
      <c r="AB80" s="239">
        <f>'tillage data'!AG55</f>
        <v>5</v>
      </c>
      <c r="AC80" s="239">
        <v>140</v>
      </c>
      <c r="AI80" s="175"/>
    </row>
    <row r="81" spans="15:35">
      <c r="O81" s="239" t="str">
        <f>'tillage data'!T56</f>
        <v>Field cultivator - 44 ft. 6 in.</v>
      </c>
      <c r="P81" s="239" t="str">
        <f>'tillage data'!U56</f>
        <v>Field cultivator</v>
      </c>
      <c r="Q81" s="239" t="str">
        <f>'tillage data'!V56</f>
        <v>44 ft. 6 in.</v>
      </c>
      <c r="R81" s="239">
        <f>'tillage data'!W56</f>
        <v>139268</v>
      </c>
      <c r="S81" s="239">
        <f>'tillage data'!X56</f>
        <v>6.5</v>
      </c>
      <c r="T81" s="239">
        <f>'tillage data'!Y56</f>
        <v>44.5</v>
      </c>
      <c r="U81" s="239">
        <f>'tillage data'!Z56</f>
        <v>0.83</v>
      </c>
      <c r="V81" s="239">
        <f>'tillage data'!AA56</f>
        <v>0.85</v>
      </c>
      <c r="W81" s="239">
        <f>'tillage data'!AB56</f>
        <v>118.35</v>
      </c>
      <c r="X81" s="239">
        <f>'tillage data'!AC56</f>
        <v>70</v>
      </c>
      <c r="Y81" s="239">
        <f>'tillage data'!AD56</f>
        <v>125</v>
      </c>
      <c r="Z81" s="239">
        <f>'tillage data'!AE56</f>
        <v>10</v>
      </c>
      <c r="AA81" s="239">
        <f>'tillage data'!AF56</f>
        <v>13</v>
      </c>
      <c r="AB81" s="239">
        <f>'tillage data'!AG56</f>
        <v>5</v>
      </c>
      <c r="AC81" s="239">
        <v>175</v>
      </c>
      <c r="AI81" s="175"/>
    </row>
    <row r="82" spans="15:35">
      <c r="O82" s="239" t="str">
        <f>'tillage data'!T57</f>
        <v>Field cultivator - 48 ft. 6 in.</v>
      </c>
      <c r="P82" s="239" t="str">
        <f>'tillage data'!U57</f>
        <v>Field cultivator</v>
      </c>
      <c r="Q82" s="239" t="str">
        <f>'tillage data'!V57</f>
        <v>48 ft. 6 in.</v>
      </c>
      <c r="R82" s="239">
        <f>'tillage data'!W57</f>
        <v>148061</v>
      </c>
      <c r="S82" s="239">
        <f>'tillage data'!X57</f>
        <v>6.5</v>
      </c>
      <c r="T82" s="239">
        <f>'tillage data'!Y57</f>
        <v>48.5</v>
      </c>
      <c r="U82" s="239">
        <f>'tillage data'!Z57</f>
        <v>0.83</v>
      </c>
      <c r="V82" s="239">
        <f>'tillage data'!AA57</f>
        <v>0.85</v>
      </c>
      <c r="W82" s="239">
        <f>'tillage data'!AB57</f>
        <v>118.35</v>
      </c>
      <c r="X82" s="239">
        <f>'tillage data'!AC57</f>
        <v>70</v>
      </c>
      <c r="Y82" s="239">
        <f>'tillage data'!AD57</f>
        <v>125</v>
      </c>
      <c r="Z82" s="239">
        <f>'tillage data'!AE57</f>
        <v>10</v>
      </c>
      <c r="AA82" s="239">
        <f>'tillage data'!AF57</f>
        <v>13</v>
      </c>
      <c r="AB82" s="239">
        <f>'tillage data'!AG57</f>
        <v>5</v>
      </c>
      <c r="AC82" s="239">
        <v>225</v>
      </c>
      <c r="AI82" s="175"/>
    </row>
    <row r="83" spans="15:35">
      <c r="O83" s="239" t="str">
        <f>'tillage data'!T58</f>
        <v>Field cultivator - 52 ft. 6 in.</v>
      </c>
      <c r="P83" s="239" t="str">
        <f>'tillage data'!U58</f>
        <v>Field cultivator</v>
      </c>
      <c r="Q83" s="239" t="str">
        <f>'tillage data'!V58</f>
        <v>52 ft. 6 in.</v>
      </c>
      <c r="R83" s="239">
        <f>'tillage data'!W58</f>
        <v>153418</v>
      </c>
      <c r="S83" s="239">
        <f>'tillage data'!X58</f>
        <v>6.5</v>
      </c>
      <c r="T83" s="239">
        <f>'tillage data'!Y58</f>
        <v>52.5</v>
      </c>
      <c r="U83" s="239">
        <f>'tillage data'!Z58</f>
        <v>0.84</v>
      </c>
      <c r="V83" s="239">
        <f>'tillage data'!AA58</f>
        <v>0.85</v>
      </c>
      <c r="W83" s="239">
        <f>'tillage data'!AB58</f>
        <v>118.35</v>
      </c>
      <c r="X83" s="239">
        <f>'tillage data'!AC58</f>
        <v>70</v>
      </c>
      <c r="Y83" s="239">
        <f>'tillage data'!AD58</f>
        <v>125</v>
      </c>
      <c r="Z83" s="239">
        <f>'tillage data'!AE58</f>
        <v>10</v>
      </c>
      <c r="AA83" s="239">
        <f>'tillage data'!AF58</f>
        <v>14</v>
      </c>
      <c r="AB83" s="239">
        <f>'tillage data'!AG58</f>
        <v>5</v>
      </c>
      <c r="AC83" s="239">
        <v>260</v>
      </c>
      <c r="AI83" s="175"/>
    </row>
    <row r="84" spans="15:35">
      <c r="O84" s="239" t="str">
        <f>'tillage data'!T59</f>
        <v>Field cultivator - 56 ft. 6 in.</v>
      </c>
      <c r="P84" s="239" t="str">
        <f>'tillage data'!U59</f>
        <v>Field cultivator</v>
      </c>
      <c r="Q84" s="239" t="str">
        <f>'tillage data'!V59</f>
        <v>56 ft. 6 in.</v>
      </c>
      <c r="R84" s="239">
        <f>'tillage data'!W59</f>
        <v>161372</v>
      </c>
      <c r="S84" s="239">
        <f>'tillage data'!X59</f>
        <v>6.5</v>
      </c>
      <c r="T84" s="239">
        <f>'tillage data'!Y59</f>
        <v>56.5</v>
      </c>
      <c r="U84" s="239">
        <f>'tillage data'!Z59</f>
        <v>0.84</v>
      </c>
      <c r="V84" s="239">
        <f>'tillage data'!AA59</f>
        <v>0.85</v>
      </c>
      <c r="W84" s="239">
        <f>'tillage data'!AB59</f>
        <v>118.4</v>
      </c>
      <c r="X84" s="239">
        <f>'tillage data'!AC59</f>
        <v>70</v>
      </c>
      <c r="Y84" s="239">
        <f>'tillage data'!AD59</f>
        <v>125</v>
      </c>
      <c r="Z84" s="239">
        <f>'tillage data'!AE59</f>
        <v>10</v>
      </c>
      <c r="AA84" s="239">
        <f>'tillage data'!AF59</f>
        <v>14</v>
      </c>
      <c r="AB84" s="239">
        <f>'tillage data'!AG59</f>
        <v>5</v>
      </c>
      <c r="AC84" s="239">
        <v>285</v>
      </c>
      <c r="AI84" s="175"/>
    </row>
    <row r="85" spans="15:35">
      <c r="O85" s="239" t="str">
        <f>'tillage data'!T60</f>
        <v>Field cultivator - 60 ft. 6 in.</v>
      </c>
      <c r="P85" s="239" t="str">
        <f>'tillage data'!U60</f>
        <v>Field cultivator</v>
      </c>
      <c r="Q85" s="239" t="str">
        <f>'tillage data'!V60</f>
        <v>60 ft. 6 in.</v>
      </c>
      <c r="R85" s="239">
        <f>'tillage data'!W60</f>
        <v>164043</v>
      </c>
      <c r="S85" s="239">
        <f>'tillage data'!X60</f>
        <v>6.5</v>
      </c>
      <c r="T85" s="239">
        <f>'tillage data'!Y60</f>
        <v>60.5</v>
      </c>
      <c r="U85" s="239">
        <f>'tillage data'!Z60</f>
        <v>0.84</v>
      </c>
      <c r="V85" s="239">
        <f>'tillage data'!AA60</f>
        <v>0.85</v>
      </c>
      <c r="W85" s="239">
        <f>'tillage data'!AB60</f>
        <v>118.4</v>
      </c>
      <c r="X85" s="239">
        <f>'tillage data'!AC60</f>
        <v>70</v>
      </c>
      <c r="Y85" s="239">
        <f>'tillage data'!AD60</f>
        <v>125</v>
      </c>
      <c r="Z85" s="239">
        <f>'tillage data'!AE60</f>
        <v>10</v>
      </c>
      <c r="AA85" s="239">
        <f>'tillage data'!AF60</f>
        <v>15</v>
      </c>
      <c r="AB85" s="239">
        <f>'tillage data'!AG60</f>
        <v>5</v>
      </c>
      <c r="AC85" s="239">
        <v>285</v>
      </c>
      <c r="AI85" s="175"/>
    </row>
    <row r="86" spans="15:35">
      <c r="O86" s="239" t="str">
        <f>'tillage data'!T61</f>
        <v>Field cultivator - 64 ft. 6 in.</v>
      </c>
      <c r="P86" s="239" t="str">
        <f>'tillage data'!U61</f>
        <v>Field cultivator</v>
      </c>
      <c r="Q86" s="239" t="str">
        <f>'tillage data'!V61</f>
        <v>64 ft. 6 in.</v>
      </c>
      <c r="R86" s="239">
        <f>'tillage data'!W61</f>
        <v>189574</v>
      </c>
      <c r="S86" s="239">
        <f>'tillage data'!X61</f>
        <v>6.5</v>
      </c>
      <c r="T86" s="239">
        <f>'tillage data'!Y61</f>
        <v>64.5</v>
      </c>
      <c r="U86" s="239">
        <f>'tillage data'!Z61</f>
        <v>0.84</v>
      </c>
      <c r="V86" s="239">
        <f>'tillage data'!AA61</f>
        <v>0.85</v>
      </c>
      <c r="W86" s="239">
        <f>'tillage data'!AB61</f>
        <v>118.4</v>
      </c>
      <c r="X86" s="239">
        <f>'tillage data'!AC61</f>
        <v>70</v>
      </c>
      <c r="Y86" s="239">
        <f>'tillage data'!AD61</f>
        <v>125</v>
      </c>
      <c r="Z86" s="239">
        <f>'tillage data'!AE61</f>
        <v>10</v>
      </c>
      <c r="AA86" s="239">
        <f>'tillage data'!AF61</f>
        <v>16</v>
      </c>
      <c r="AB86" s="239">
        <f>'tillage data'!AG61</f>
        <v>5</v>
      </c>
      <c r="AC86" s="239">
        <v>310</v>
      </c>
      <c r="AI86" s="175"/>
    </row>
    <row r="87" spans="15:35">
      <c r="O87" s="239" t="str">
        <f>'tillage data'!T62</f>
        <v>Field cultivator - 69 ft. 6 in.</v>
      </c>
      <c r="P87" s="239" t="str">
        <f>'tillage data'!U62</f>
        <v>Field cultivator</v>
      </c>
      <c r="Q87" s="239" t="str">
        <f>'tillage data'!V62</f>
        <v>69 ft. 6 in.</v>
      </c>
      <c r="R87" s="239">
        <f>'tillage data'!W62</f>
        <v>201072</v>
      </c>
      <c r="S87" s="239">
        <f>'tillage data'!X62</f>
        <v>6.5</v>
      </c>
      <c r="T87" s="239">
        <f>'tillage data'!Y62</f>
        <v>69.5</v>
      </c>
      <c r="U87" s="239">
        <f>'tillage data'!Z62</f>
        <v>0.84</v>
      </c>
      <c r="V87" s="239">
        <f>'tillage data'!AA62</f>
        <v>0.85</v>
      </c>
      <c r="W87" s="239">
        <f>'tillage data'!AB62</f>
        <v>118.4</v>
      </c>
      <c r="X87" s="239">
        <f>'tillage data'!AC62</f>
        <v>70</v>
      </c>
      <c r="Y87" s="239">
        <f>'tillage data'!AD62</f>
        <v>125</v>
      </c>
      <c r="Z87" s="239">
        <f>'tillage data'!AE62</f>
        <v>10</v>
      </c>
      <c r="AA87" s="239">
        <f>'tillage data'!AF62</f>
        <v>17</v>
      </c>
      <c r="AB87" s="239">
        <f>'tillage data'!AG62</f>
        <v>5</v>
      </c>
      <c r="AC87" s="239">
        <v>140</v>
      </c>
      <c r="AI87" s="175"/>
    </row>
    <row r="88" spans="15:35">
      <c r="O88" s="239" t="str">
        <f>'tillage data'!T63</f>
        <v>Tandem disk - 23 ft. 7 in.</v>
      </c>
      <c r="P88" s="239" t="str">
        <f>'tillage data'!U63</f>
        <v>Tandem disk</v>
      </c>
      <c r="Q88" s="239" t="str">
        <f>'tillage data'!V63</f>
        <v>23 ft. 7 in.</v>
      </c>
      <c r="R88" s="239">
        <f>'tillage data'!W63</f>
        <v>85858</v>
      </c>
      <c r="S88" s="239">
        <f>'tillage data'!X63</f>
        <v>6</v>
      </c>
      <c r="T88" s="239">
        <f>'tillage data'!Y63</f>
        <v>23.58</v>
      </c>
      <c r="U88" s="239">
        <f>'tillage data'!Z63</f>
        <v>0.83</v>
      </c>
      <c r="V88" s="239">
        <f>'tillage data'!AA63</f>
        <v>0.85</v>
      </c>
      <c r="W88" s="239">
        <f>'tillage data'!AB63</f>
        <v>108</v>
      </c>
      <c r="X88" s="239">
        <f>'tillage data'!AC63</f>
        <v>70</v>
      </c>
      <c r="Y88" s="239">
        <f>'tillage data'!AD63</f>
        <v>125</v>
      </c>
      <c r="Z88" s="239">
        <f>'tillage data'!AE63</f>
        <v>10</v>
      </c>
      <c r="AA88" s="239">
        <f>'tillage data'!AF63</f>
        <v>7</v>
      </c>
      <c r="AB88" s="239">
        <f>'tillage data'!AG63</f>
        <v>4</v>
      </c>
      <c r="AC88" s="239">
        <v>155</v>
      </c>
      <c r="AI88" s="175"/>
    </row>
    <row r="89" spans="15:35">
      <c r="O89" s="239" t="str">
        <f>'tillage data'!T64</f>
        <v>Tandem disk - 26 ft. 5 in.</v>
      </c>
      <c r="P89" s="239" t="str">
        <f>'tillage data'!U64</f>
        <v>Tandem disk</v>
      </c>
      <c r="Q89" s="239" t="str">
        <f>'tillage data'!V64</f>
        <v>26 ft. 5 in.</v>
      </c>
      <c r="R89" s="239">
        <f>'tillage data'!W64</f>
        <v>94971</v>
      </c>
      <c r="S89" s="239">
        <f>'tillage data'!X64</f>
        <v>6</v>
      </c>
      <c r="T89" s="239">
        <f>'tillage data'!Y64</f>
        <v>26.42</v>
      </c>
      <c r="U89" s="239">
        <f>'tillage data'!Z64</f>
        <v>0.83</v>
      </c>
      <c r="V89" s="239">
        <f>'tillage data'!AA64</f>
        <v>0.85</v>
      </c>
      <c r="W89" s="239">
        <f>'tillage data'!AB64</f>
        <v>108</v>
      </c>
      <c r="X89" s="239">
        <f>'tillage data'!AC64</f>
        <v>70</v>
      </c>
      <c r="Y89" s="239">
        <f>'tillage data'!AD64</f>
        <v>125</v>
      </c>
      <c r="Z89" s="239">
        <f>'tillage data'!AE64</f>
        <v>10</v>
      </c>
      <c r="AA89" s="239">
        <f>'tillage data'!AF64</f>
        <v>8</v>
      </c>
      <c r="AB89" s="239">
        <f>'tillage data'!AG64</f>
        <v>4</v>
      </c>
      <c r="AC89" s="239">
        <v>225</v>
      </c>
      <c r="AI89" s="175"/>
    </row>
    <row r="90" spans="15:35">
      <c r="O90" s="239" t="str">
        <f>'tillage data'!T65</f>
        <v>Tandem disk - 29 ft. 3 in.</v>
      </c>
      <c r="P90" s="239" t="str">
        <f>'tillage data'!U65</f>
        <v>Tandem disk</v>
      </c>
      <c r="Q90" s="239" t="str">
        <f>'tillage data'!V65</f>
        <v>29 ft. 3 in.</v>
      </c>
      <c r="R90" s="239">
        <f>'tillage data'!W65</f>
        <v>101971</v>
      </c>
      <c r="S90" s="239">
        <f>'tillage data'!X65</f>
        <v>6</v>
      </c>
      <c r="T90" s="239">
        <f>'tillage data'!Y65</f>
        <v>29.25</v>
      </c>
      <c r="U90" s="239">
        <f>'tillage data'!Z65</f>
        <v>0.83</v>
      </c>
      <c r="V90" s="239">
        <f>'tillage data'!AA65</f>
        <v>0.85</v>
      </c>
      <c r="W90" s="239">
        <f>'tillage data'!AB65</f>
        <v>108</v>
      </c>
      <c r="X90" s="239">
        <f>'tillage data'!AC65</f>
        <v>70</v>
      </c>
      <c r="Y90" s="239">
        <f>'tillage data'!AD65</f>
        <v>125</v>
      </c>
      <c r="Z90" s="239">
        <f>'tillage data'!AE65</f>
        <v>10</v>
      </c>
      <c r="AA90" s="239">
        <f>'tillage data'!AF65</f>
        <v>9</v>
      </c>
      <c r="AB90" s="239">
        <f>'tillage data'!AG65</f>
        <v>4</v>
      </c>
      <c r="AC90" s="239">
        <v>140</v>
      </c>
      <c r="AI90" s="175"/>
    </row>
    <row r="91" spans="15:35">
      <c r="O91" s="239" t="str">
        <f>'tillage data'!T66</f>
        <v>Tandem disk - 33 ft. 7 in.</v>
      </c>
      <c r="P91" s="239" t="str">
        <f>'tillage data'!U66</f>
        <v>Tandem disk</v>
      </c>
      <c r="Q91" s="239" t="str">
        <f>'tillage data'!V66</f>
        <v>33 ft. 7 in.</v>
      </c>
      <c r="R91" s="239">
        <f>'tillage data'!W66</f>
        <v>116032</v>
      </c>
      <c r="S91" s="239">
        <f>'tillage data'!X66</f>
        <v>6</v>
      </c>
      <c r="T91" s="239">
        <f>'tillage data'!Y66</f>
        <v>33.58</v>
      </c>
      <c r="U91" s="239">
        <f>'tillage data'!Z66</f>
        <v>0.83</v>
      </c>
      <c r="V91" s="239">
        <f>'tillage data'!AA66</f>
        <v>0.85</v>
      </c>
      <c r="W91" s="239">
        <f>'tillage data'!AB66</f>
        <v>108</v>
      </c>
      <c r="X91" s="239">
        <f>'tillage data'!AC66</f>
        <v>70</v>
      </c>
      <c r="Y91" s="239">
        <f>'tillage data'!AD66</f>
        <v>125</v>
      </c>
      <c r="Z91" s="239">
        <f>'tillage data'!AE66</f>
        <v>10</v>
      </c>
      <c r="AA91" s="239">
        <f>'tillage data'!AF66</f>
        <v>10</v>
      </c>
      <c r="AB91" s="239">
        <f>'tillage data'!AG66</f>
        <v>4</v>
      </c>
      <c r="AC91" s="239">
        <v>225</v>
      </c>
      <c r="AI91" s="175"/>
    </row>
    <row r="92" spans="15:35">
      <c r="O92" s="239" t="str">
        <f>'tillage data'!T67</f>
        <v>Tandem disk - 40 ft. 8 in.</v>
      </c>
      <c r="P92" s="239" t="str">
        <f>'tillage data'!U67</f>
        <v>Tandem disk</v>
      </c>
      <c r="Q92" s="239" t="str">
        <f>'tillage data'!V67</f>
        <v>40 ft. 8 in.</v>
      </c>
      <c r="R92" s="239">
        <f>'tillage data'!W67</f>
        <v>153077</v>
      </c>
      <c r="S92" s="239">
        <f>'tillage data'!X67</f>
        <v>6</v>
      </c>
      <c r="T92" s="239">
        <f>'tillage data'!Y67</f>
        <v>40.667000000000002</v>
      </c>
      <c r="U92" s="239">
        <f>'tillage data'!Z67</f>
        <v>0.83</v>
      </c>
      <c r="V92" s="239">
        <f>'tillage data'!AA67</f>
        <v>0.85</v>
      </c>
      <c r="W92" s="239">
        <f>'tillage data'!AB67</f>
        <v>108</v>
      </c>
      <c r="X92" s="239">
        <f>'tillage data'!AC67</f>
        <v>70</v>
      </c>
      <c r="Y92" s="239">
        <f>'tillage data'!AD67</f>
        <v>125</v>
      </c>
      <c r="Z92" s="239">
        <f>'tillage data'!AE67</f>
        <v>10</v>
      </c>
      <c r="AA92" s="239">
        <f>'tillage data'!AF67</f>
        <v>12</v>
      </c>
      <c r="AB92" s="239">
        <f>'tillage data'!AG67</f>
        <v>4</v>
      </c>
      <c r="AC92" s="239">
        <v>175</v>
      </c>
      <c r="AI92" s="175"/>
    </row>
    <row r="93" spans="15:35">
      <c r="O93" s="239" t="str">
        <f>'tillage data'!T68</f>
        <v>Tandem disk - 44 ft. 11 in.</v>
      </c>
      <c r="P93" s="239" t="str">
        <f>'tillage data'!U68</f>
        <v>Tandem disk</v>
      </c>
      <c r="Q93" s="239" t="str">
        <f>'tillage data'!V68</f>
        <v>44 ft. 11 in.</v>
      </c>
      <c r="R93" s="239">
        <f>'tillage data'!W68</f>
        <v>187901</v>
      </c>
      <c r="S93" s="239">
        <f>'tillage data'!X68</f>
        <v>6</v>
      </c>
      <c r="T93" s="239">
        <f>'tillage data'!Y68</f>
        <v>45</v>
      </c>
      <c r="U93" s="239">
        <f>'tillage data'!Z68</f>
        <v>0.83</v>
      </c>
      <c r="V93" s="239">
        <f>'tillage data'!AA68</f>
        <v>0.85</v>
      </c>
      <c r="W93" s="239">
        <f>'tillage data'!AB68</f>
        <v>108</v>
      </c>
      <c r="X93" s="239">
        <f>'tillage data'!AC68</f>
        <v>70</v>
      </c>
      <c r="Y93" s="239">
        <f>'tillage data'!AD68</f>
        <v>125</v>
      </c>
      <c r="Z93" s="239">
        <f>'tillage data'!AE68</f>
        <v>10</v>
      </c>
      <c r="AA93" s="239">
        <f>'tillage data'!AF68</f>
        <v>13</v>
      </c>
      <c r="AB93" s="239">
        <f>'tillage data'!AG68</f>
        <v>4</v>
      </c>
      <c r="AC93" s="239">
        <v>240</v>
      </c>
      <c r="AI93" s="175"/>
    </row>
    <row r="94" spans="15:35">
      <c r="O94" s="239" t="str">
        <f>'tillage data'!T69</f>
        <v>Broadcast seeding - 40 ft.</v>
      </c>
      <c r="P94" s="239" t="str">
        <f>'tillage data'!U69</f>
        <v>Broadcast seeding</v>
      </c>
      <c r="Q94" s="239" t="str">
        <f>'tillage data'!V69</f>
        <v>40 ft.</v>
      </c>
      <c r="R94" s="239">
        <f>'tillage data'!W69</f>
        <v>3919</v>
      </c>
      <c r="S94" s="239">
        <f>'tillage data'!X69</f>
        <v>4</v>
      </c>
      <c r="T94" s="239">
        <f>'tillage data'!Y69</f>
        <v>40</v>
      </c>
      <c r="U94" s="239">
        <f>'tillage data'!Z69</f>
        <v>0.83</v>
      </c>
      <c r="V94" s="239">
        <f>'tillage data'!AA69</f>
        <v>0.5</v>
      </c>
      <c r="W94" s="239">
        <f>'tillage data'!AB69</f>
        <v>66.75</v>
      </c>
      <c r="X94" s="239">
        <f>'tillage data'!AC69</f>
        <v>44.5</v>
      </c>
      <c r="Y94" s="239">
        <f>'tillage data'!AD69</f>
        <v>100</v>
      </c>
      <c r="Z94" s="239">
        <f>'tillage data'!AE69</f>
        <v>10</v>
      </c>
      <c r="AA94" s="239">
        <f>'tillage data'!AF69</f>
        <v>1</v>
      </c>
      <c r="AB94" s="239">
        <f>'tillage data'!AG69</f>
        <v>7</v>
      </c>
      <c r="AC94" s="239">
        <v>285</v>
      </c>
      <c r="AI94" s="175"/>
    </row>
    <row r="95" spans="15:35">
      <c r="O95" s="239" t="str">
        <f>'tillage data'!T70</f>
        <v>Conventional planter - 6-row</v>
      </c>
      <c r="P95" s="239" t="str">
        <f>'tillage data'!U70</f>
        <v>Conventional planter</v>
      </c>
      <c r="Q95" s="239" t="str">
        <f>'tillage data'!V70</f>
        <v>6-row</v>
      </c>
      <c r="R95" s="239">
        <f>'tillage data'!W70</f>
        <v>51105</v>
      </c>
      <c r="S95" s="239">
        <f>'tillage data'!X70</f>
        <v>6</v>
      </c>
      <c r="T95" s="239">
        <f>'tillage data'!Y70</f>
        <v>15</v>
      </c>
      <c r="U95" s="239">
        <f>'tillage data'!Z70</f>
        <v>0.7</v>
      </c>
      <c r="V95" s="239">
        <f>'tillage data'!AA70</f>
        <v>0.75</v>
      </c>
      <c r="W95" s="239">
        <f>'tillage data'!AB70</f>
        <v>50</v>
      </c>
      <c r="X95" s="239">
        <f>'tillage data'!AC70</f>
        <v>70</v>
      </c>
      <c r="Y95" s="239">
        <f>'tillage data'!AD70</f>
        <v>80</v>
      </c>
      <c r="Z95" s="239">
        <f>'tillage data'!AE70</f>
        <v>10</v>
      </c>
      <c r="AA95" s="239">
        <f>'tillage data'!AF70</f>
        <v>4</v>
      </c>
      <c r="AB95" s="239">
        <f>'tillage data'!AG70</f>
        <v>7</v>
      </c>
      <c r="AC95" s="239">
        <v>390</v>
      </c>
      <c r="AI95" s="175"/>
    </row>
    <row r="96" spans="15:35">
      <c r="O96" s="239" t="str">
        <f>'tillage data'!T71</f>
        <v>Conventional planter - 8-row</v>
      </c>
      <c r="P96" s="239" t="str">
        <f>'tillage data'!U71</f>
        <v>Conventional planter</v>
      </c>
      <c r="Q96" s="239" t="str">
        <f>'tillage data'!V71</f>
        <v>8-row</v>
      </c>
      <c r="R96" s="239">
        <f>'tillage data'!W71</f>
        <v>62788</v>
      </c>
      <c r="S96" s="239">
        <f>'tillage data'!X71</f>
        <v>6</v>
      </c>
      <c r="T96" s="239">
        <f>'tillage data'!Y71</f>
        <v>20</v>
      </c>
      <c r="U96" s="239">
        <f>'tillage data'!Z71</f>
        <v>0.7</v>
      </c>
      <c r="V96" s="239">
        <f>'tillage data'!AA71</f>
        <v>0.75</v>
      </c>
      <c r="W96" s="239">
        <f>'tillage data'!AB71</f>
        <v>50</v>
      </c>
      <c r="X96" s="239">
        <f>'tillage data'!AC71</f>
        <v>70</v>
      </c>
      <c r="Y96" s="239">
        <f>'tillage data'!AD71</f>
        <v>80</v>
      </c>
      <c r="Z96" s="239">
        <f>'tillage data'!AE71</f>
        <v>10</v>
      </c>
      <c r="AA96" s="239">
        <f>'tillage data'!AF71</f>
        <v>5</v>
      </c>
      <c r="AB96" s="239">
        <f>'tillage data'!AG71</f>
        <v>7</v>
      </c>
      <c r="AC96" s="239">
        <v>490</v>
      </c>
      <c r="AI96" s="175"/>
    </row>
    <row r="97" spans="15:35">
      <c r="O97" s="239" t="str">
        <f>'tillage data'!T72</f>
        <v>Conventional planter - 12-row</v>
      </c>
      <c r="P97" s="239" t="str">
        <f>'tillage data'!U72</f>
        <v>Conventional planter</v>
      </c>
      <c r="Q97" s="239" t="str">
        <f>'tillage data'!V72</f>
        <v>12-row</v>
      </c>
      <c r="R97" s="239">
        <f>'tillage data'!W72</f>
        <v>165119</v>
      </c>
      <c r="S97" s="239">
        <f>'tillage data'!X72</f>
        <v>6</v>
      </c>
      <c r="T97" s="239">
        <f>'tillage data'!Y72</f>
        <v>30</v>
      </c>
      <c r="U97" s="239">
        <f>'tillage data'!Z72</f>
        <v>0.7</v>
      </c>
      <c r="V97" s="239">
        <f>'tillage data'!AA72</f>
        <v>0.75</v>
      </c>
      <c r="W97" s="239">
        <f>'tillage data'!AB72</f>
        <v>50</v>
      </c>
      <c r="X97" s="239">
        <f>'tillage data'!AC72</f>
        <v>70</v>
      </c>
      <c r="Y97" s="239">
        <f>'tillage data'!AD72</f>
        <v>80</v>
      </c>
      <c r="Z97" s="239">
        <f>'tillage data'!AE72</f>
        <v>10</v>
      </c>
      <c r="AA97" s="239">
        <f>'tillage data'!AF72</f>
        <v>7</v>
      </c>
      <c r="AB97" s="239">
        <f>'tillage data'!AG72</f>
        <v>7</v>
      </c>
      <c r="AC97" s="239">
        <v>205</v>
      </c>
      <c r="AI97" s="175"/>
    </row>
    <row r="98" spans="15:35">
      <c r="O98" s="239" t="str">
        <f>'tillage data'!T73</f>
        <v>Conventional planter - 16-row</v>
      </c>
      <c r="P98" s="239" t="str">
        <f>'tillage data'!U73</f>
        <v>Conventional planter</v>
      </c>
      <c r="Q98" s="239" t="str">
        <f>'tillage data'!V73</f>
        <v>16-row</v>
      </c>
      <c r="R98" s="239">
        <f>'tillage data'!W73</f>
        <v>178146</v>
      </c>
      <c r="S98" s="239">
        <f>'tillage data'!X73</f>
        <v>6</v>
      </c>
      <c r="T98" s="239">
        <f>'tillage data'!Y73</f>
        <v>40</v>
      </c>
      <c r="U98" s="239">
        <f>'tillage data'!Z73</f>
        <v>0.7</v>
      </c>
      <c r="V98" s="239">
        <f>'tillage data'!AA73</f>
        <v>0.75</v>
      </c>
      <c r="W98" s="239">
        <f>'tillage data'!AB73</f>
        <v>50</v>
      </c>
      <c r="X98" s="239">
        <f>'tillage data'!AC73</f>
        <v>70</v>
      </c>
      <c r="Y98" s="239">
        <f>'tillage data'!AD73</f>
        <v>80</v>
      </c>
      <c r="Z98" s="239">
        <f>'tillage data'!AE73</f>
        <v>10</v>
      </c>
      <c r="AA98" s="239">
        <f>'tillage data'!AF73</f>
        <v>8</v>
      </c>
      <c r="AB98" s="239">
        <f>'tillage data'!AG73</f>
        <v>7</v>
      </c>
      <c r="AC98" s="239">
        <v>260</v>
      </c>
      <c r="AI98" s="175"/>
    </row>
    <row r="99" spans="15:35">
      <c r="O99" s="239" t="str">
        <f>'tillage data'!T74</f>
        <v>Conventional planter - 24-row</v>
      </c>
      <c r="P99" s="239" t="str">
        <f>'tillage data'!U74</f>
        <v>Conventional planter</v>
      </c>
      <c r="Q99" s="239" t="str">
        <f>'tillage data'!V74</f>
        <v>24-row</v>
      </c>
      <c r="R99" s="239">
        <f>'tillage data'!W74</f>
        <v>274918</v>
      </c>
      <c r="S99" s="239">
        <f>'tillage data'!X74</f>
        <v>6</v>
      </c>
      <c r="T99" s="239">
        <f>'tillage data'!Y74</f>
        <v>60</v>
      </c>
      <c r="U99" s="239">
        <f>'tillage data'!Z74</f>
        <v>0.7</v>
      </c>
      <c r="V99" s="239">
        <f>'tillage data'!AA74</f>
        <v>0.75</v>
      </c>
      <c r="W99" s="239">
        <f>'tillage data'!AB74</f>
        <v>50</v>
      </c>
      <c r="X99" s="239">
        <f>'tillage data'!AC74</f>
        <v>70</v>
      </c>
      <c r="Y99" s="239">
        <f>'tillage data'!AD74</f>
        <v>80</v>
      </c>
      <c r="Z99" s="239">
        <f>'tillage data'!AE74</f>
        <v>10</v>
      </c>
      <c r="AA99" s="239">
        <f>'tillage data'!AF74</f>
        <v>10</v>
      </c>
      <c r="AB99" s="239">
        <f>'tillage data'!AG74</f>
        <v>7</v>
      </c>
      <c r="AC99" s="239">
        <v>285</v>
      </c>
      <c r="AI99" s="175"/>
    </row>
    <row r="100" spans="15:35">
      <c r="O100" s="239" t="str">
        <f>'tillage data'!T75</f>
        <v>Conventional planter - 32-row</v>
      </c>
      <c r="P100" s="239" t="str">
        <f>'tillage data'!U75</f>
        <v>Conventional planter</v>
      </c>
      <c r="Q100" s="239" t="str">
        <f>'tillage data'!V75</f>
        <v>32-row</v>
      </c>
      <c r="R100" s="239">
        <f>'tillage data'!W75</f>
        <v>493151</v>
      </c>
      <c r="S100" s="239">
        <f>'tillage data'!X75</f>
        <v>6</v>
      </c>
      <c r="T100" s="239">
        <f>'tillage data'!Y75</f>
        <v>80</v>
      </c>
      <c r="U100" s="239">
        <f>'tillage data'!Z75</f>
        <v>0.7</v>
      </c>
      <c r="V100" s="239">
        <f>'tillage data'!AA75</f>
        <v>0.75</v>
      </c>
      <c r="W100" s="239">
        <f>'tillage data'!AB75</f>
        <v>50</v>
      </c>
      <c r="X100" s="239">
        <f>'tillage data'!AC75</f>
        <v>70</v>
      </c>
      <c r="Y100" s="239">
        <f>'tillage data'!AD75</f>
        <v>80</v>
      </c>
      <c r="Z100" s="239">
        <f>'tillage data'!AE75</f>
        <v>10</v>
      </c>
      <c r="AA100" s="239">
        <f>'tillage data'!AF75</f>
        <v>11</v>
      </c>
      <c r="AB100" s="239">
        <f>'tillage data'!AG75</f>
        <v>7</v>
      </c>
      <c r="AC100" s="239">
        <v>440</v>
      </c>
      <c r="AI100" s="175"/>
    </row>
    <row r="101" spans="15:35">
      <c r="O101" s="239" t="str">
        <f>'tillage data'!T76</f>
        <v>Conventional planter - 36-row</v>
      </c>
      <c r="P101" s="239" t="str">
        <f>'tillage data'!U76</f>
        <v>Conventional planter</v>
      </c>
      <c r="Q101" s="239" t="str">
        <f>'tillage data'!V76</f>
        <v>36-row</v>
      </c>
      <c r="R101" s="239">
        <f>'tillage data'!W76</f>
        <v>531076</v>
      </c>
      <c r="S101" s="239">
        <f>'tillage data'!X76</f>
        <v>6</v>
      </c>
      <c r="T101" s="239">
        <f>'tillage data'!Y76</f>
        <v>90</v>
      </c>
      <c r="U101" s="239">
        <f>'tillage data'!Z76</f>
        <v>0.7</v>
      </c>
      <c r="V101" s="239">
        <f>'tillage data'!AA76</f>
        <v>0.75</v>
      </c>
      <c r="W101" s="239">
        <f>'tillage data'!AB76</f>
        <v>50</v>
      </c>
      <c r="X101" s="239">
        <f>'tillage data'!AC76</f>
        <v>70</v>
      </c>
      <c r="Y101" s="239">
        <f>'tillage data'!AD76</f>
        <v>80</v>
      </c>
      <c r="Z101" s="239">
        <f>'tillage data'!AE76</f>
        <v>10</v>
      </c>
      <c r="AA101" s="239">
        <f>'tillage data'!AF76</f>
        <v>13</v>
      </c>
      <c r="AB101" s="239">
        <f>'tillage data'!AG76</f>
        <v>7</v>
      </c>
      <c r="AC101" s="239">
        <v>640</v>
      </c>
      <c r="AI101" s="175"/>
    </row>
    <row r="102" spans="15:35">
      <c r="O102" s="239" t="str">
        <f>'tillage data'!T77</f>
        <v>Split-row planter (soybean acres only)² - 12-row split</v>
      </c>
      <c r="P102" s="239" t="str">
        <f>'tillage data'!U77</f>
        <v>Split-row planter (soybean acres only)²</v>
      </c>
      <c r="Q102" s="239" t="str">
        <f>'tillage data'!V77</f>
        <v>12-row split</v>
      </c>
      <c r="R102" s="239">
        <f>'tillage data'!W77</f>
        <v>59679</v>
      </c>
      <c r="S102" s="239">
        <f>'tillage data'!X77</f>
        <v>6</v>
      </c>
      <c r="T102" s="239">
        <f>'tillage data'!Y77</f>
        <v>30</v>
      </c>
      <c r="U102" s="239">
        <f>'tillage data'!Z77</f>
        <v>0.7</v>
      </c>
      <c r="V102" s="239">
        <f>'tillage data'!AA77</f>
        <v>0.75</v>
      </c>
      <c r="W102" s="239">
        <f>'tillage data'!AB77</f>
        <v>25</v>
      </c>
      <c r="X102" s="239">
        <f>'tillage data'!AC77</f>
        <v>35</v>
      </c>
      <c r="Y102" s="239">
        <f>'tillage data'!AD77</f>
        <v>40</v>
      </c>
      <c r="Z102" s="239">
        <f>'tillage data'!AE77</f>
        <v>10</v>
      </c>
      <c r="AA102" s="239">
        <f>'tillage data'!AF77</f>
        <v>8</v>
      </c>
      <c r="AB102" s="239">
        <f>'tillage data'!AG77</f>
        <v>7</v>
      </c>
      <c r="AC102" s="239">
        <v>95</v>
      </c>
      <c r="AI102" s="175"/>
    </row>
    <row r="103" spans="15:35">
      <c r="O103" s="239" t="str">
        <f>'tillage data'!T78</f>
        <v>Split-row planter (soybean acres only)² - 16-row split</v>
      </c>
      <c r="P103" s="239" t="str">
        <f>'tillage data'!U78</f>
        <v>Split-row planter (soybean acres only)²</v>
      </c>
      <c r="Q103" s="239" t="str">
        <f>'tillage data'!V78</f>
        <v>16-row split</v>
      </c>
      <c r="R103" s="239">
        <f>'tillage data'!W78</f>
        <v>76191</v>
      </c>
      <c r="S103" s="239">
        <f>'tillage data'!X78</f>
        <v>6</v>
      </c>
      <c r="T103" s="239">
        <f>'tillage data'!Y78</f>
        <v>40</v>
      </c>
      <c r="U103" s="239">
        <f>'tillage data'!Z78</f>
        <v>0.7</v>
      </c>
      <c r="V103" s="239">
        <f>'tillage data'!AA78</f>
        <v>0.75</v>
      </c>
      <c r="W103" s="239">
        <f>'tillage data'!AB78</f>
        <v>25</v>
      </c>
      <c r="X103" s="239">
        <f>'tillage data'!AC78</f>
        <v>35</v>
      </c>
      <c r="Y103" s="239">
        <f>'tillage data'!AD78</f>
        <v>40</v>
      </c>
      <c r="Z103" s="239">
        <f>'tillage data'!AE78</f>
        <v>10</v>
      </c>
      <c r="AA103" s="239">
        <f>'tillage data'!AF78</f>
        <v>9</v>
      </c>
      <c r="AB103" s="239">
        <f>'tillage data'!AG78</f>
        <v>7</v>
      </c>
      <c r="AC103" s="239">
        <v>110</v>
      </c>
      <c r="AI103" s="175"/>
    </row>
    <row r="104" spans="15:35">
      <c r="O104" s="239" t="str">
        <f>'tillage data'!T79</f>
        <v>No-till planter (30" rows) - 8-row</v>
      </c>
      <c r="P104" s="239" t="str">
        <f>'tillage data'!U79</f>
        <v>No-till planter (30" rows)</v>
      </c>
      <c r="Q104" s="239" t="str">
        <f>'tillage data'!V79</f>
        <v>8-row</v>
      </c>
      <c r="R104" s="239">
        <f>'tillage data'!W79</f>
        <v>66892</v>
      </c>
      <c r="S104" s="239">
        <f>'tillage data'!X79</f>
        <v>6</v>
      </c>
      <c r="T104" s="239">
        <f>'tillage data'!Y79</f>
        <v>20</v>
      </c>
      <c r="U104" s="239">
        <f>'tillage data'!Z79</f>
        <v>0.7</v>
      </c>
      <c r="V104" s="239">
        <f>'tillage data'!AA79</f>
        <v>0.75</v>
      </c>
      <c r="W104" s="239">
        <f>'tillage data'!AB79</f>
        <v>60</v>
      </c>
      <c r="X104" s="239">
        <f>'tillage data'!AC79</f>
        <v>70</v>
      </c>
      <c r="Y104" s="239">
        <f>'tillage data'!AD79</f>
        <v>100</v>
      </c>
      <c r="Z104" s="239">
        <f>'tillage data'!AE79</f>
        <v>10</v>
      </c>
      <c r="AA104" s="239">
        <f>'tillage data'!AF79</f>
        <v>5</v>
      </c>
      <c r="AB104" s="239">
        <f>'tillage data'!AG79</f>
        <v>7</v>
      </c>
      <c r="AC104" s="239">
        <v>140</v>
      </c>
      <c r="AI104" s="175"/>
    </row>
    <row r="105" spans="15:35">
      <c r="O105" s="239" t="str">
        <f>'tillage data'!T80</f>
        <v>No-till planter (30" rows) - 12-row</v>
      </c>
      <c r="P105" s="239" t="str">
        <f>'tillage data'!U80</f>
        <v>No-till planter (30" rows)</v>
      </c>
      <c r="Q105" s="239" t="str">
        <f>'tillage data'!V80</f>
        <v>12-row</v>
      </c>
      <c r="R105" s="239">
        <f>'tillage data'!W80</f>
        <v>181225</v>
      </c>
      <c r="S105" s="239">
        <f>'tillage data'!X80</f>
        <v>6</v>
      </c>
      <c r="T105" s="239">
        <f>'tillage data'!Y80</f>
        <v>30</v>
      </c>
      <c r="U105" s="239">
        <f>'tillage data'!Z80</f>
        <v>0.7</v>
      </c>
      <c r="V105" s="239">
        <f>'tillage data'!AA80</f>
        <v>0.75</v>
      </c>
      <c r="W105" s="239">
        <f>'tillage data'!AB80</f>
        <v>117.9</v>
      </c>
      <c r="X105" s="239">
        <f>'tillage data'!AC80</f>
        <v>70</v>
      </c>
      <c r="Y105" s="239">
        <f>'tillage data'!AD80</f>
        <v>100</v>
      </c>
      <c r="Z105" s="239">
        <f>'tillage data'!AE80</f>
        <v>10</v>
      </c>
      <c r="AA105" s="239">
        <f>'tillage data'!AF80</f>
        <v>7</v>
      </c>
      <c r="AB105" s="239">
        <f>'tillage data'!AG80</f>
        <v>7</v>
      </c>
      <c r="AC105" s="239">
        <v>175</v>
      </c>
      <c r="AI105" s="175"/>
    </row>
    <row r="106" spans="15:35">
      <c r="O106" s="239" t="str">
        <f>'tillage data'!T81</f>
        <v>No-till planter (30" rows) - 16-row</v>
      </c>
      <c r="P106" s="239" t="str">
        <f>'tillage data'!U81</f>
        <v>No-till planter (30" rows)</v>
      </c>
      <c r="Q106" s="239" t="str">
        <f>'tillage data'!V81</f>
        <v>16-row</v>
      </c>
      <c r="R106" s="239">
        <f>'tillage data'!W81</f>
        <v>199394</v>
      </c>
      <c r="S106" s="239">
        <f>'tillage data'!X81</f>
        <v>6</v>
      </c>
      <c r="T106" s="239">
        <f>'tillage data'!Y81</f>
        <v>40</v>
      </c>
      <c r="U106" s="239">
        <f>'tillage data'!Z81</f>
        <v>0.7</v>
      </c>
      <c r="V106" s="239">
        <f>'tillage data'!AA81</f>
        <v>0.75</v>
      </c>
      <c r="W106" s="239">
        <f>'tillage data'!AB81</f>
        <v>117.9</v>
      </c>
      <c r="X106" s="239">
        <f>'tillage data'!AC81</f>
        <v>70</v>
      </c>
      <c r="Y106" s="239">
        <f>'tillage data'!AD81</f>
        <v>100</v>
      </c>
      <c r="Z106" s="239">
        <f>'tillage data'!AE81</f>
        <v>10</v>
      </c>
      <c r="AA106" s="239">
        <f>'tillage data'!AF81</f>
        <v>9</v>
      </c>
      <c r="AB106" s="239">
        <f>'tillage data'!AG81</f>
        <v>7</v>
      </c>
      <c r="AC106" s="239">
        <v>225</v>
      </c>
      <c r="AI106" s="175"/>
    </row>
    <row r="107" spans="15:35">
      <c r="O107" s="239" t="str">
        <f>'tillage data'!T82</f>
        <v>No-till planter (30" rows) - 24-row</v>
      </c>
      <c r="P107" s="239" t="str">
        <f>'tillage data'!U82</f>
        <v>No-till planter (30" rows)</v>
      </c>
      <c r="Q107" s="239" t="str">
        <f>'tillage data'!V82</f>
        <v>24-row</v>
      </c>
      <c r="R107" s="239">
        <f>'tillage data'!W82</f>
        <v>287230</v>
      </c>
      <c r="S107" s="239">
        <f>'tillage data'!X82</f>
        <v>6</v>
      </c>
      <c r="T107" s="239">
        <f>'tillage data'!Y82</f>
        <v>60</v>
      </c>
      <c r="U107" s="239">
        <f>'tillage data'!Z82</f>
        <v>0.7</v>
      </c>
      <c r="V107" s="239">
        <f>'tillage data'!AA82</f>
        <v>0.75</v>
      </c>
      <c r="W107" s="239">
        <f>'tillage data'!AB82</f>
        <v>117.9</v>
      </c>
      <c r="X107" s="239">
        <f>'tillage data'!AC82</f>
        <v>70</v>
      </c>
      <c r="Y107" s="239">
        <f>'tillage data'!AD82</f>
        <v>100</v>
      </c>
      <c r="Z107" s="239">
        <f>'tillage data'!AE82</f>
        <v>10</v>
      </c>
      <c r="AA107" s="239">
        <f>'tillage data'!AF82</f>
        <v>11</v>
      </c>
      <c r="AB107" s="239">
        <f>'tillage data'!AG82</f>
        <v>7</v>
      </c>
      <c r="AC107" s="239">
        <v>140</v>
      </c>
      <c r="AI107" s="175"/>
    </row>
    <row r="108" spans="15:35">
      <c r="O108" s="239" t="str">
        <f>'tillage data'!T83</f>
        <v>Grain drill - 13 ft.</v>
      </c>
      <c r="P108" s="239" t="str">
        <f>'tillage data'!U83</f>
        <v>Grain drill</v>
      </c>
      <c r="Q108" s="239" t="str">
        <f>'tillage data'!V83</f>
        <v>13 ft.</v>
      </c>
      <c r="R108" s="239">
        <f>'tillage data'!W83</f>
        <v>27529</v>
      </c>
      <c r="S108" s="239">
        <f>'tillage data'!X83</f>
        <v>5.5</v>
      </c>
      <c r="T108" s="239">
        <f>'tillage data'!Y83</f>
        <v>13</v>
      </c>
      <c r="U108" s="239">
        <f>'tillage data'!Z83</f>
        <v>0.7</v>
      </c>
      <c r="V108" s="239">
        <f>'tillage data'!AA83</f>
        <v>0.75</v>
      </c>
      <c r="W108" s="239">
        <f>'tillage data'!AB83</f>
        <v>85.65</v>
      </c>
      <c r="X108" s="239">
        <f>'tillage data'!AC83</f>
        <v>57.1</v>
      </c>
      <c r="Y108" s="239">
        <f>'tillage data'!AD83</f>
        <v>125</v>
      </c>
      <c r="Z108" s="239">
        <f>'tillage data'!AE83</f>
        <v>10</v>
      </c>
      <c r="AA108" s="239">
        <f>'tillage data'!AF83</f>
        <v>3</v>
      </c>
      <c r="AB108" s="239">
        <f>'tillage data'!AG83</f>
        <v>13</v>
      </c>
      <c r="AC108" s="239">
        <v>175</v>
      </c>
      <c r="AI108" s="175"/>
    </row>
    <row r="109" spans="15:35">
      <c r="O109" s="239" t="str">
        <f>'tillage data'!T84</f>
        <v>Grain drill - 25 ft.</v>
      </c>
      <c r="P109" s="239" t="str">
        <f>'tillage data'!U84</f>
        <v>Grain drill</v>
      </c>
      <c r="Q109" s="239" t="str">
        <f>'tillage data'!V84</f>
        <v>25 ft.</v>
      </c>
      <c r="R109" s="239">
        <f>'tillage data'!W84</f>
        <v>60775</v>
      </c>
      <c r="S109" s="239">
        <f>'tillage data'!X84</f>
        <v>5.5</v>
      </c>
      <c r="T109" s="239">
        <f>'tillage data'!Y84</f>
        <v>25</v>
      </c>
      <c r="U109" s="239">
        <f>'tillage data'!Z84</f>
        <v>0.7</v>
      </c>
      <c r="V109" s="239">
        <f>'tillage data'!AA84</f>
        <v>0.75</v>
      </c>
      <c r="W109" s="239">
        <f>'tillage data'!AB84</f>
        <v>60</v>
      </c>
      <c r="X109" s="239">
        <f>'tillage data'!AC84</f>
        <v>57.1</v>
      </c>
      <c r="Y109" s="239">
        <f>'tillage data'!AD84</f>
        <v>125</v>
      </c>
      <c r="Z109" s="239">
        <f>'tillage data'!AE84</f>
        <v>10</v>
      </c>
      <c r="AA109" s="239">
        <f>'tillage data'!AF84</f>
        <v>5</v>
      </c>
      <c r="AB109" s="239">
        <f>'tillage data'!AG84</f>
        <v>13</v>
      </c>
      <c r="AC109" s="239">
        <v>225</v>
      </c>
      <c r="AI109" s="175"/>
    </row>
    <row r="110" spans="15:35">
      <c r="O110" s="239" t="str">
        <f>'tillage data'!T85</f>
        <v>Grain drill - 30 ft.</v>
      </c>
      <c r="P110" s="239" t="str">
        <f>'tillage data'!U85</f>
        <v>Grain drill</v>
      </c>
      <c r="Q110" s="239" t="str">
        <f>'tillage data'!V85</f>
        <v>30 ft.</v>
      </c>
      <c r="R110" s="239">
        <f>'tillage data'!W85</f>
        <v>77255</v>
      </c>
      <c r="S110" s="239">
        <f>'tillage data'!X85</f>
        <v>5.5</v>
      </c>
      <c r="T110" s="239">
        <f>'tillage data'!Y85</f>
        <v>30</v>
      </c>
      <c r="U110" s="239">
        <f>'tillage data'!Z85</f>
        <v>0.7</v>
      </c>
      <c r="V110" s="239">
        <f>'tillage data'!AA85</f>
        <v>0.75</v>
      </c>
      <c r="W110" s="239">
        <f>'tillage data'!AB85</f>
        <v>60</v>
      </c>
      <c r="X110" s="239">
        <f>'tillage data'!AC85</f>
        <v>57.1</v>
      </c>
      <c r="Y110" s="239">
        <f>'tillage data'!AD85</f>
        <v>125</v>
      </c>
      <c r="Z110" s="239">
        <f>'tillage data'!AE85</f>
        <v>10</v>
      </c>
      <c r="AA110" s="239">
        <f>'tillage data'!AF85</f>
        <v>7</v>
      </c>
      <c r="AB110" s="239">
        <f>'tillage data'!AG85</f>
        <v>13</v>
      </c>
      <c r="AC110" s="239">
        <v>85</v>
      </c>
      <c r="AI110" s="175"/>
    </row>
    <row r="111" spans="15:35">
      <c r="O111" s="239" t="str">
        <f>'tillage data'!T86</f>
        <v>Grain drill - 35 ft.</v>
      </c>
      <c r="P111" s="239" t="str">
        <f>'tillage data'!U86</f>
        <v>Grain drill</v>
      </c>
      <c r="Q111" s="239" t="str">
        <f>'tillage data'!V86</f>
        <v>35 ft.</v>
      </c>
      <c r="R111" s="239">
        <f>'tillage data'!W86</f>
        <v>92035</v>
      </c>
      <c r="S111" s="239">
        <f>'tillage data'!X86</f>
        <v>5.5</v>
      </c>
      <c r="T111" s="239">
        <f>'tillage data'!Y86</f>
        <v>35</v>
      </c>
      <c r="U111" s="239">
        <f>'tillage data'!Z86</f>
        <v>0.7</v>
      </c>
      <c r="V111" s="239">
        <f>'tillage data'!AA86</f>
        <v>0.75</v>
      </c>
      <c r="W111" s="239">
        <f>'tillage data'!AB86</f>
        <v>60</v>
      </c>
      <c r="X111" s="239">
        <f>'tillage data'!AC86</f>
        <v>57.1</v>
      </c>
      <c r="Y111" s="239">
        <f>'tillage data'!AD86</f>
        <v>125</v>
      </c>
      <c r="Z111" s="239">
        <f>'tillage data'!AE86</f>
        <v>10</v>
      </c>
      <c r="AA111" s="239">
        <f>'tillage data'!AF86</f>
        <v>9</v>
      </c>
      <c r="AB111" s="239">
        <f>'tillage data'!AG86</f>
        <v>13</v>
      </c>
      <c r="AC111" s="239">
        <v>140</v>
      </c>
      <c r="AI111" s="175"/>
    </row>
    <row r="112" spans="15:35">
      <c r="O112" s="239" t="str">
        <f>'tillage data'!T87</f>
        <v>No-till drill - 10 ft</v>
      </c>
      <c r="P112" s="239" t="str">
        <f>'tillage data'!U87</f>
        <v>No-till drill</v>
      </c>
      <c r="Q112" s="239" t="str">
        <f>'tillage data'!V87</f>
        <v>10 ft</v>
      </c>
      <c r="R112" s="239">
        <f>'tillage data'!W87</f>
        <v>60899</v>
      </c>
      <c r="S112" s="239">
        <f>'tillage data'!X87</f>
        <v>5.5</v>
      </c>
      <c r="T112" s="239">
        <f>'tillage data'!Y87</f>
        <v>10</v>
      </c>
      <c r="U112" s="239">
        <f>'tillage data'!Z87</f>
        <v>0.7</v>
      </c>
      <c r="V112" s="239">
        <f>'tillage data'!AA87</f>
        <v>0.75</v>
      </c>
      <c r="W112" s="239">
        <f>'tillage data'!AB87</f>
        <v>85.724999999999994</v>
      </c>
      <c r="X112" s="239">
        <f>'tillage data'!AC87</f>
        <v>57.15</v>
      </c>
      <c r="Y112" s="239">
        <f>'tillage data'!AD87</f>
        <v>80</v>
      </c>
      <c r="Z112" s="239">
        <f>'tillage data'!AE87</f>
        <v>10</v>
      </c>
      <c r="AA112" s="239">
        <f>'tillage data'!AF87</f>
        <v>3</v>
      </c>
      <c r="AB112" s="239">
        <f>'tillage data'!AG87</f>
        <v>13</v>
      </c>
      <c r="AC112" s="239">
        <v>175</v>
      </c>
      <c r="AI112" s="175"/>
    </row>
    <row r="113" spans="15:35">
      <c r="O113" s="239" t="str">
        <f>'tillage data'!T88</f>
        <v>No-till drill - 15 ft</v>
      </c>
      <c r="P113" s="239" t="str">
        <f>'tillage data'!U88</f>
        <v>No-till drill</v>
      </c>
      <c r="Q113" s="239" t="str">
        <f>'tillage data'!V88</f>
        <v>15 ft</v>
      </c>
      <c r="R113" s="239">
        <f>'tillage data'!W88</f>
        <v>70246</v>
      </c>
      <c r="S113" s="239">
        <f>'tillage data'!X88</f>
        <v>5.5</v>
      </c>
      <c r="T113" s="239">
        <f>'tillage data'!Y88</f>
        <v>15</v>
      </c>
      <c r="U113" s="239">
        <f>'tillage data'!Z88</f>
        <v>0.7</v>
      </c>
      <c r="V113" s="239">
        <f>'tillage data'!AA88</f>
        <v>0.75</v>
      </c>
      <c r="W113" s="239">
        <f>'tillage data'!AB88</f>
        <v>85.724999999999994</v>
      </c>
      <c r="X113" s="239">
        <f>'tillage data'!AC88</f>
        <v>57.15</v>
      </c>
      <c r="Y113" s="239">
        <f>'tillage data'!AD88</f>
        <v>80</v>
      </c>
      <c r="Z113" s="239">
        <f>'tillage data'!AE88</f>
        <v>10</v>
      </c>
      <c r="AA113" s="239">
        <f>'tillage data'!AF88</f>
        <v>5</v>
      </c>
      <c r="AB113" s="239">
        <f>'tillage data'!AG88</f>
        <v>13</v>
      </c>
      <c r="AC113" s="239">
        <v>205</v>
      </c>
      <c r="AI113" s="175"/>
    </row>
    <row r="114" spans="15:35">
      <c r="O114" s="239" t="str">
        <f>'tillage data'!T89</f>
        <v>No-till drill - 20 ft.</v>
      </c>
      <c r="P114" s="239" t="str">
        <f>'tillage data'!U89</f>
        <v>No-till drill</v>
      </c>
      <c r="Q114" s="239" t="str">
        <f>'tillage data'!V89</f>
        <v>20 ft.</v>
      </c>
      <c r="R114" s="239">
        <f>'tillage data'!W89</f>
        <v>103565</v>
      </c>
      <c r="S114" s="239">
        <f>'tillage data'!X89</f>
        <v>5.5</v>
      </c>
      <c r="T114" s="239">
        <f>'tillage data'!Y89</f>
        <v>20</v>
      </c>
      <c r="U114" s="239">
        <f>'tillage data'!Z89</f>
        <v>0.7</v>
      </c>
      <c r="V114" s="239">
        <f>'tillage data'!AA89</f>
        <v>0.75</v>
      </c>
      <c r="W114" s="239">
        <f>'tillage data'!AB89</f>
        <v>85.724999999999994</v>
      </c>
      <c r="X114" s="239">
        <f>'tillage data'!AC89</f>
        <v>57.15</v>
      </c>
      <c r="Y114" s="239">
        <f>'tillage data'!AD89</f>
        <v>80</v>
      </c>
      <c r="Z114" s="239">
        <f>'tillage data'!AE89</f>
        <v>10</v>
      </c>
      <c r="AA114" s="239">
        <f>'tillage data'!AF89</f>
        <v>7</v>
      </c>
      <c r="AB114" s="239">
        <f>'tillage data'!AG89</f>
        <v>13</v>
      </c>
      <c r="AC114" s="239">
        <v>240</v>
      </c>
      <c r="AI114" s="245"/>
    </row>
    <row r="115" spans="15:35">
      <c r="O115" s="239" t="str">
        <f>'tillage data'!T90</f>
        <v>Air seeder - 28 ft.</v>
      </c>
      <c r="P115" s="239" t="str">
        <f>'tillage data'!U90</f>
        <v>Air seeder</v>
      </c>
      <c r="Q115" s="239" t="str">
        <f>'tillage data'!V90</f>
        <v>28 ft.</v>
      </c>
      <c r="R115" s="239">
        <f>'tillage data'!W90</f>
        <v>195192</v>
      </c>
      <c r="S115" s="239">
        <f>'tillage data'!X90</f>
        <v>6</v>
      </c>
      <c r="T115" s="239">
        <f>'tillage data'!Y90</f>
        <v>28</v>
      </c>
      <c r="U115" s="239">
        <f>'tillage data'!Z90</f>
        <v>0.7</v>
      </c>
      <c r="V115" s="239">
        <f>'tillage data'!AA90</f>
        <v>0.75</v>
      </c>
      <c r="W115" s="239">
        <f>'tillage data'!AB90</f>
        <v>85.65</v>
      </c>
      <c r="X115" s="239">
        <f>'tillage data'!AC90</f>
        <v>57.1</v>
      </c>
      <c r="Y115" s="239">
        <f>'tillage data'!AD90</f>
        <v>125</v>
      </c>
      <c r="Z115" s="239">
        <f>'tillage data'!AE90</f>
        <v>10</v>
      </c>
      <c r="AA115" s="239">
        <f>'tillage data'!AF90</f>
        <v>12</v>
      </c>
      <c r="AB115" s="239">
        <f>'tillage data'!AG90</f>
        <v>7</v>
      </c>
      <c r="AC115" s="239">
        <v>260</v>
      </c>
      <c r="AI115" s="245"/>
    </row>
    <row r="116" spans="15:35">
      <c r="O116" s="239" t="str">
        <f>'tillage data'!T91</f>
        <v>Air seeder - 36 ft.</v>
      </c>
      <c r="P116" s="239" t="str">
        <f>'tillage data'!U91</f>
        <v>Air seeder</v>
      </c>
      <c r="Q116" s="239" t="str">
        <f>'tillage data'!V91</f>
        <v>36 ft.</v>
      </c>
      <c r="R116" s="239">
        <f>'tillage data'!W91</f>
        <v>267957</v>
      </c>
      <c r="S116" s="239">
        <f>'tillage data'!X91</f>
        <v>6</v>
      </c>
      <c r="T116" s="239">
        <f>'tillage data'!Y91</f>
        <v>36</v>
      </c>
      <c r="U116" s="239">
        <f>'tillage data'!Z91</f>
        <v>0.7</v>
      </c>
      <c r="V116" s="239">
        <f>'tillage data'!AA91</f>
        <v>0.75</v>
      </c>
      <c r="W116" s="239">
        <f>'tillage data'!AB91</f>
        <v>85.65</v>
      </c>
      <c r="X116" s="239">
        <f>'tillage data'!AC91</f>
        <v>57.1</v>
      </c>
      <c r="Y116" s="239">
        <f>'tillage data'!AD91</f>
        <v>125</v>
      </c>
      <c r="Z116" s="239">
        <f>'tillage data'!AE91</f>
        <v>10</v>
      </c>
      <c r="AA116" s="239">
        <f>'tillage data'!AF91</f>
        <v>12</v>
      </c>
      <c r="AB116" s="239">
        <f>'tillage data'!AG91</f>
        <v>7</v>
      </c>
      <c r="AC116" s="239">
        <v>120</v>
      </c>
      <c r="AI116" s="245"/>
    </row>
    <row r="117" spans="15:35">
      <c r="O117" s="239" t="str">
        <f>'tillage data'!T92</f>
        <v>Air seeder - 44 ft.</v>
      </c>
      <c r="P117" s="239" t="str">
        <f>'tillage data'!U92</f>
        <v>Air seeder</v>
      </c>
      <c r="Q117" s="239" t="str">
        <f>'tillage data'!V92</f>
        <v>44 ft.</v>
      </c>
      <c r="R117" s="239">
        <f>'tillage data'!W92</f>
        <v>297761</v>
      </c>
      <c r="S117" s="239">
        <f>'tillage data'!X92</f>
        <v>6</v>
      </c>
      <c r="T117" s="239">
        <f>'tillage data'!Y92</f>
        <v>44</v>
      </c>
      <c r="U117" s="239">
        <f>'tillage data'!Z92</f>
        <v>0.7</v>
      </c>
      <c r="V117" s="239">
        <f>'tillage data'!AA92</f>
        <v>0.75</v>
      </c>
      <c r="W117" s="239">
        <f>'tillage data'!AB92</f>
        <v>85.64</v>
      </c>
      <c r="X117" s="239">
        <f>'tillage data'!AC92</f>
        <v>57.1</v>
      </c>
      <c r="Y117" s="239">
        <f>'tillage data'!AD92</f>
        <v>125</v>
      </c>
      <c r="Z117" s="239">
        <f>'tillage data'!AE92</f>
        <v>10</v>
      </c>
      <c r="AA117" s="239">
        <f>'tillage data'!AF92</f>
        <v>13</v>
      </c>
      <c r="AB117" s="239">
        <f>'tillage data'!AG92</f>
        <v>7</v>
      </c>
      <c r="AC117" s="239">
        <v>155</v>
      </c>
      <c r="AI117" s="245"/>
    </row>
    <row r="118" spans="15:35">
      <c r="O118" s="239" t="str">
        <f>'tillage data'!T93</f>
        <v>Rotary hoe - 30 ft.</v>
      </c>
      <c r="P118" s="239" t="str">
        <f>'tillage data'!U93</f>
        <v>Rotary hoe</v>
      </c>
      <c r="Q118" s="239" t="str">
        <f>'tillage data'!V93</f>
        <v>30 ft.</v>
      </c>
      <c r="R118" s="239">
        <f>'tillage data'!W93</f>
        <v>15427</v>
      </c>
      <c r="S118" s="239">
        <f>'tillage data'!X93</f>
        <v>10</v>
      </c>
      <c r="T118" s="239">
        <f>'tillage data'!Y93</f>
        <v>30</v>
      </c>
      <c r="U118" s="239">
        <f>'tillage data'!Z93</f>
        <v>0.83</v>
      </c>
      <c r="V118" s="239">
        <f>'tillage data'!AA93</f>
        <v>0.75</v>
      </c>
      <c r="W118" s="239">
        <f>'tillage data'!AB93</f>
        <v>19.878</v>
      </c>
      <c r="X118" s="239">
        <f>'tillage data'!AC93</f>
        <v>13.252000000000001</v>
      </c>
      <c r="Y118" s="239">
        <f>'tillage data'!AD93</f>
        <v>125</v>
      </c>
      <c r="Z118" s="239">
        <f>'tillage data'!AE93</f>
        <v>10</v>
      </c>
      <c r="AA118" s="239">
        <f>'tillage data'!AF93</f>
        <v>5</v>
      </c>
      <c r="AB118" s="239">
        <f>'tillage data'!AG93</f>
        <v>9</v>
      </c>
      <c r="AC118" s="239">
        <v>205</v>
      </c>
      <c r="AI118" s="245"/>
    </row>
    <row r="119" spans="15:35">
      <c r="O119" s="239" t="str">
        <f>'tillage data'!T94</f>
        <v>Rotary hoe - 41 ft.</v>
      </c>
      <c r="P119" s="239" t="str">
        <f>'tillage data'!U94</f>
        <v>Rotary hoe</v>
      </c>
      <c r="Q119" s="239" t="str">
        <f>'tillage data'!V94</f>
        <v>41 ft.</v>
      </c>
      <c r="R119" s="239">
        <f>'tillage data'!W94</f>
        <v>27865</v>
      </c>
      <c r="S119" s="239">
        <f>'tillage data'!X94</f>
        <v>10</v>
      </c>
      <c r="T119" s="239">
        <f>'tillage data'!Y94</f>
        <v>41</v>
      </c>
      <c r="U119" s="239">
        <f>'tillage data'!Z94</f>
        <v>0.83</v>
      </c>
      <c r="V119" s="239">
        <f>'tillage data'!AA94</f>
        <v>0.75</v>
      </c>
      <c r="W119" s="239">
        <f>'tillage data'!AB94</f>
        <v>19.878</v>
      </c>
      <c r="X119" s="239">
        <f>'tillage data'!AC94</f>
        <v>13.252000000000001</v>
      </c>
      <c r="Y119" s="239">
        <f>'tillage data'!AD94</f>
        <v>125</v>
      </c>
      <c r="Z119" s="239">
        <f>'tillage data'!AE94</f>
        <v>10</v>
      </c>
      <c r="AA119" s="239">
        <f>'tillage data'!AF94</f>
        <v>9</v>
      </c>
      <c r="AB119" s="239">
        <f>'tillage data'!AG94</f>
        <v>9</v>
      </c>
      <c r="AC119" s="239">
        <v>175</v>
      </c>
      <c r="AI119" s="245"/>
    </row>
    <row r="120" spans="15:35">
      <c r="O120" s="239" t="str">
        <f>'tillage data'!T95</f>
        <v>Row-crop cultivator (30" rows) - 8-row</v>
      </c>
      <c r="P120" s="239" t="str">
        <f>'tillage data'!U95</f>
        <v>Row-crop cultivator (30" rows)</v>
      </c>
      <c r="Q120" s="239" t="str">
        <f>'tillage data'!V95</f>
        <v>8-row</v>
      </c>
      <c r="R120" s="239">
        <f>'tillage data'!W95</f>
        <v>33526</v>
      </c>
      <c r="S120" s="239">
        <f>'tillage data'!X95</f>
        <v>4.5</v>
      </c>
      <c r="T120" s="239">
        <f>'tillage data'!Y95</f>
        <v>20</v>
      </c>
      <c r="U120" s="239">
        <f>'tillage data'!Z95</f>
        <v>0.83</v>
      </c>
      <c r="V120" s="239">
        <f>'tillage data'!AA95</f>
        <v>0.5</v>
      </c>
      <c r="W120" s="239">
        <f>'tillage data'!AB95</f>
        <v>66.3</v>
      </c>
      <c r="X120" s="239">
        <f>'tillage data'!AC95</f>
        <v>44.2</v>
      </c>
      <c r="Y120" s="239">
        <f>'tillage data'!AD95</f>
        <v>100</v>
      </c>
      <c r="Z120" s="239">
        <f>'tillage data'!AE95</f>
        <v>10</v>
      </c>
      <c r="AA120" s="239">
        <f>'tillage data'!AF95</f>
        <v>5</v>
      </c>
      <c r="AB120" s="239">
        <f>'tillage data'!AG95</f>
        <v>8</v>
      </c>
      <c r="AC120" s="239">
        <v>240</v>
      </c>
      <c r="AI120" s="245"/>
    </row>
    <row r="121" spans="15:35">
      <c r="O121" s="239" t="str">
        <f>'tillage data'!T96</f>
        <v>Row-crop cultivator (30" rows) - 12-row</v>
      </c>
      <c r="P121" s="239" t="str">
        <f>'tillage data'!U96</f>
        <v>Row-crop cultivator (30" rows)</v>
      </c>
      <c r="Q121" s="239" t="str">
        <f>'tillage data'!V96</f>
        <v>12-row</v>
      </c>
      <c r="R121" s="239">
        <f>'tillage data'!W96</f>
        <v>60004</v>
      </c>
      <c r="S121" s="239">
        <f>'tillage data'!X96</f>
        <v>4.5</v>
      </c>
      <c r="T121" s="239">
        <f>'tillage data'!Y96</f>
        <v>30</v>
      </c>
      <c r="U121" s="239">
        <f>'tillage data'!Z96</f>
        <v>0.83</v>
      </c>
      <c r="V121" s="239">
        <f>'tillage data'!AA96</f>
        <v>0.5</v>
      </c>
      <c r="W121" s="239">
        <f>'tillage data'!AB96</f>
        <v>66.75</v>
      </c>
      <c r="X121" s="239">
        <f>'tillage data'!AC96</f>
        <v>44.5</v>
      </c>
      <c r="Y121" s="239">
        <f>'tillage data'!AD96</f>
        <v>100</v>
      </c>
      <c r="Z121" s="239">
        <f>'tillage data'!AE96</f>
        <v>10</v>
      </c>
      <c r="AA121" s="239">
        <f>'tillage data'!AF96</f>
        <v>6</v>
      </c>
      <c r="AB121" s="239">
        <f>'tillage data'!AG96</f>
        <v>8</v>
      </c>
      <c r="AC121" s="239">
        <v>260</v>
      </c>
      <c r="AI121" s="245"/>
    </row>
    <row r="122" spans="15:35">
      <c r="O122" s="239" t="str">
        <f>'tillage data'!T97</f>
        <v>Row-crop cultivator (30" rows) - 16-row</v>
      </c>
      <c r="P122" s="239" t="str">
        <f>'tillage data'!U97</f>
        <v>Row-crop cultivator (30" rows)</v>
      </c>
      <c r="Q122" s="239" t="str">
        <f>'tillage data'!V97</f>
        <v>16-row</v>
      </c>
      <c r="R122" s="239">
        <f>'tillage data'!W97</f>
        <v>76787</v>
      </c>
      <c r="S122" s="239">
        <f>'tillage data'!X97</f>
        <v>4.5</v>
      </c>
      <c r="T122" s="239">
        <f>'tillage data'!Y97</f>
        <v>40</v>
      </c>
      <c r="U122" s="239">
        <f>'tillage data'!Z97</f>
        <v>0.83</v>
      </c>
      <c r="V122" s="239">
        <f>'tillage data'!AA97</f>
        <v>0.5</v>
      </c>
      <c r="W122" s="239">
        <f>'tillage data'!AB97</f>
        <v>66.75</v>
      </c>
      <c r="X122" s="239">
        <f>'tillage data'!AC97</f>
        <v>44.5</v>
      </c>
      <c r="Y122" s="239">
        <f>'tillage data'!AD97</f>
        <v>100</v>
      </c>
      <c r="Z122" s="239">
        <f>'tillage data'!AE97</f>
        <v>10</v>
      </c>
      <c r="AA122" s="239">
        <f>'tillage data'!AF97</f>
        <v>9</v>
      </c>
      <c r="AB122" s="239">
        <f>'tillage data'!AG97</f>
        <v>8</v>
      </c>
      <c r="AC122" s="239">
        <v>310</v>
      </c>
      <c r="AI122" s="245"/>
    </row>
    <row r="123" spans="15:35">
      <c r="O123" s="246" t="str">
        <f>'tillage data'!T98</f>
        <v>Self-propelled sprayer (High-crop ready) - 80 ft boom</v>
      </c>
      <c r="P123" s="246" t="str">
        <f>'tillage data'!U98</f>
        <v>Self-propelled sprayer (High-crop ready)</v>
      </c>
      <c r="Q123" s="246" t="str">
        <f>'tillage data'!V98</f>
        <v>80 ft boom</v>
      </c>
      <c r="R123" s="246">
        <f>'tillage data'!W98</f>
        <v>324149</v>
      </c>
      <c r="S123" s="246">
        <f>'tillage data'!X98</f>
        <v>9.5</v>
      </c>
      <c r="T123" s="246">
        <f>'tillage data'!Y98</f>
        <v>80</v>
      </c>
      <c r="U123" s="246">
        <f>'tillage data'!Z98</f>
        <v>0.7</v>
      </c>
      <c r="V123" s="246">
        <f>'tillage data'!AA98</f>
        <v>0.5</v>
      </c>
      <c r="W123" s="246">
        <f>'tillage data'!AB98</f>
        <v>83</v>
      </c>
      <c r="X123" s="246">
        <f>'tillage data'!AC98</f>
        <v>83</v>
      </c>
      <c r="Y123" s="246">
        <f>'tillage data'!AD98</f>
        <v>83</v>
      </c>
      <c r="Z123" s="246">
        <f>'tillage data'!AE98</f>
        <v>10</v>
      </c>
      <c r="AA123" s="246">
        <v>1</v>
      </c>
      <c r="AB123" s="246">
        <f>'tillage data'!AG98</f>
        <v>1</v>
      </c>
      <c r="AC123" s="246">
        <v>440</v>
      </c>
      <c r="AI123" s="245"/>
    </row>
    <row r="124" spans="15:35">
      <c r="O124" s="246" t="str">
        <f>'tillage data'!T99</f>
        <v>Self-propelled sprayer (High-crop ready) - 90 ft boom</v>
      </c>
      <c r="P124" s="246" t="str">
        <f>'tillage data'!U99</f>
        <v>Self-propelled sprayer (High-crop ready)</v>
      </c>
      <c r="Q124" s="246" t="str">
        <f>'tillage data'!V99</f>
        <v>90 ft boom</v>
      </c>
      <c r="R124" s="246">
        <f>'tillage data'!W99</f>
        <v>488564</v>
      </c>
      <c r="S124" s="246">
        <f>'tillage data'!X99</f>
        <v>9.5</v>
      </c>
      <c r="T124" s="246">
        <f>'tillage data'!Y99</f>
        <v>90</v>
      </c>
      <c r="U124" s="246">
        <f>'tillage data'!Z99</f>
        <v>0.7</v>
      </c>
      <c r="V124" s="246">
        <f>'tillage data'!AA99</f>
        <v>0.5</v>
      </c>
      <c r="W124" s="246">
        <f>'tillage data'!AB99</f>
        <v>83</v>
      </c>
      <c r="X124" s="246">
        <f>'tillage data'!AC99</f>
        <v>83</v>
      </c>
      <c r="Y124" s="246">
        <f>'tillage data'!AD99</f>
        <v>83</v>
      </c>
      <c r="Z124" s="246">
        <f>'tillage data'!AE99</f>
        <v>10</v>
      </c>
      <c r="AA124" s="246">
        <v>1</v>
      </c>
      <c r="AB124" s="246">
        <f>'tillage data'!AG99</f>
        <v>1</v>
      </c>
      <c r="AC124" s="246">
        <v>140</v>
      </c>
      <c r="AI124" s="245"/>
    </row>
    <row r="125" spans="15:35">
      <c r="O125" s="246" t="str">
        <f>'tillage data'!T100</f>
        <v>Self-propelled sprayer (High-crop ready) - 100 ft boom</v>
      </c>
      <c r="P125" s="246" t="str">
        <f>'tillage data'!U100</f>
        <v>Self-propelled sprayer (High-crop ready)</v>
      </c>
      <c r="Q125" s="246" t="str">
        <f>'tillage data'!V100</f>
        <v>100 ft boom</v>
      </c>
      <c r="R125" s="246">
        <f>'tillage data'!W100</f>
        <v>491379</v>
      </c>
      <c r="S125" s="246">
        <f>'tillage data'!X100</f>
        <v>9.5</v>
      </c>
      <c r="T125" s="246">
        <f>'tillage data'!Y100</f>
        <v>100</v>
      </c>
      <c r="U125" s="246">
        <f>'tillage data'!Z100</f>
        <v>0.7</v>
      </c>
      <c r="V125" s="246">
        <f>'tillage data'!AA100</f>
        <v>0.5</v>
      </c>
      <c r="W125" s="246">
        <f>'tillage data'!AB100</f>
        <v>83</v>
      </c>
      <c r="X125" s="246">
        <f>'tillage data'!AC100</f>
        <v>83</v>
      </c>
      <c r="Y125" s="246">
        <f>'tillage data'!AD100</f>
        <v>83</v>
      </c>
      <c r="Z125" s="246">
        <f>'tillage data'!AE100</f>
        <v>10</v>
      </c>
      <c r="AA125" s="246">
        <v>1</v>
      </c>
      <c r="AB125" s="246">
        <f>'tillage data'!AG100</f>
        <v>1</v>
      </c>
      <c r="AC125" s="246">
        <v>140</v>
      </c>
      <c r="AI125" s="245"/>
    </row>
    <row r="126" spans="15:35">
      <c r="O126" s="246" t="str">
        <f>'tillage data'!T101</f>
        <v>Self-propelled sprayer  - 120 ft boom</v>
      </c>
      <c r="P126" s="246" t="str">
        <f>'tillage data'!U101</f>
        <v xml:space="preserve">Self-propelled sprayer </v>
      </c>
      <c r="Q126" s="246" t="str">
        <f>'tillage data'!V101</f>
        <v>120 ft boom</v>
      </c>
      <c r="R126" s="246">
        <f>'tillage data'!W101</f>
        <v>526251</v>
      </c>
      <c r="S126" s="246">
        <f>'tillage data'!X101</f>
        <v>9.5</v>
      </c>
      <c r="T126" s="246">
        <f>'tillage data'!Y101</f>
        <v>120</v>
      </c>
      <c r="U126" s="246">
        <f>'tillage data'!Z101</f>
        <v>0.7</v>
      </c>
      <c r="V126" s="246">
        <f>'tillage data'!AA101</f>
        <v>0.5</v>
      </c>
      <c r="W126" s="246">
        <f>'tillage data'!AB101</f>
        <v>83</v>
      </c>
      <c r="X126" s="246">
        <f>'tillage data'!AC101</f>
        <v>83</v>
      </c>
      <c r="Y126" s="246">
        <f>'tillage data'!AD101</f>
        <v>83</v>
      </c>
      <c r="Z126" s="246">
        <f>'tillage data'!AE101</f>
        <v>10</v>
      </c>
      <c r="AA126" s="246">
        <v>1</v>
      </c>
      <c r="AB126" s="246">
        <f>'tillage data'!AG101</f>
        <v>1</v>
      </c>
      <c r="AC126" s="246">
        <v>85</v>
      </c>
      <c r="AI126" s="245"/>
    </row>
    <row r="127" spans="15:35">
      <c r="O127" s="239" t="str">
        <f>'tillage data'!T102</f>
        <v>Field Sprayer - 90 ft.</v>
      </c>
      <c r="P127" s="239" t="str">
        <f>'tillage data'!U102</f>
        <v>Field Sprayer</v>
      </c>
      <c r="Q127" s="239" t="str">
        <f>'tillage data'!V102</f>
        <v>90 ft.</v>
      </c>
      <c r="R127" s="239">
        <f>'tillage data'!W102</f>
        <v>71250</v>
      </c>
      <c r="S127" s="239">
        <f>'tillage data'!X102</f>
        <v>7</v>
      </c>
      <c r="T127" s="239">
        <f>'tillage data'!Y102</f>
        <v>90</v>
      </c>
      <c r="U127" s="239">
        <f>'tillage data'!Z102</f>
        <v>0.65</v>
      </c>
      <c r="V127" s="239">
        <f>'tillage data'!AA102</f>
        <v>0.4</v>
      </c>
      <c r="W127" s="239">
        <f>'tillage data'!AB102</f>
        <v>81.599999999999994</v>
      </c>
      <c r="X127" s="239">
        <f>'tillage data'!AC102</f>
        <v>40</v>
      </c>
      <c r="Y127" s="239">
        <f>'tillage data'!AD102</f>
        <v>80</v>
      </c>
      <c r="Z127" s="239">
        <f>'tillage data'!AE102</f>
        <v>10</v>
      </c>
      <c r="AA127" s="239">
        <f>'tillage data'!AF102</f>
        <v>2</v>
      </c>
      <c r="AB127" s="239">
        <f>'tillage data'!AG102</f>
        <v>12</v>
      </c>
      <c r="AC127" s="239">
        <v>85</v>
      </c>
      <c r="AI127" s="245"/>
    </row>
    <row r="128" spans="15:35">
      <c r="O128" s="239" t="str">
        <f>'tillage data'!T103</f>
        <v>Anhydrous ammonia applicator - 27 ft. 6 in.</v>
      </c>
      <c r="P128" s="239" t="str">
        <f>'tillage data'!U103</f>
        <v>Anhydrous ammonia applicator</v>
      </c>
      <c r="Q128" s="239" t="str">
        <f>'tillage data'!V103</f>
        <v>27 ft. 6 in.</v>
      </c>
      <c r="R128" s="239">
        <f>'tillage data'!W103</f>
        <v>108719</v>
      </c>
      <c r="S128" s="239">
        <f>'tillage data'!X103</f>
        <v>5</v>
      </c>
      <c r="T128" s="239">
        <f>'tillage data'!Y103</f>
        <v>27.5</v>
      </c>
      <c r="U128" s="239">
        <f>'tillage data'!Z103</f>
        <v>0.8</v>
      </c>
      <c r="V128" s="239">
        <f>'tillage data'!AA103</f>
        <v>0.75</v>
      </c>
      <c r="W128" s="239">
        <f>'tillage data'!AB103</f>
        <v>61.8</v>
      </c>
      <c r="X128" s="239">
        <f>'tillage data'!AC103</f>
        <v>70</v>
      </c>
      <c r="Y128" s="239">
        <f>'tillage data'!AD103</f>
        <v>125</v>
      </c>
      <c r="Z128" s="239">
        <f>'tillage data'!AE103</f>
        <v>10</v>
      </c>
      <c r="AA128" s="239">
        <f>'tillage data'!AF103</f>
        <v>7</v>
      </c>
      <c r="AB128" s="239">
        <f>'tillage data'!AG103</f>
        <v>10</v>
      </c>
      <c r="AC128" s="239">
        <v>85</v>
      </c>
      <c r="AI128" s="245"/>
    </row>
    <row r="129" spans="15:35">
      <c r="O129" s="239" t="str">
        <f>'tillage data'!T104</f>
        <v>Anhydrous ammonia applicator - 37 ft. 6 in.</v>
      </c>
      <c r="P129" s="239" t="str">
        <f>'tillage data'!U104</f>
        <v>Anhydrous ammonia applicator</v>
      </c>
      <c r="Q129" s="239" t="str">
        <f>'tillage data'!V104</f>
        <v>37 ft. 6 in.</v>
      </c>
      <c r="R129" s="239">
        <f>'tillage data'!W104</f>
        <v>136510</v>
      </c>
      <c r="S129" s="239">
        <f>'tillage data'!X104</f>
        <v>5</v>
      </c>
      <c r="T129" s="239">
        <f>'tillage data'!Y104</f>
        <v>37.5</v>
      </c>
      <c r="U129" s="239">
        <f>'tillage data'!Z104</f>
        <v>0.8</v>
      </c>
      <c r="V129" s="239">
        <f>'tillage data'!AA104</f>
        <v>0.75</v>
      </c>
      <c r="W129" s="239">
        <f>'tillage data'!AB104</f>
        <v>61.8</v>
      </c>
      <c r="X129" s="239">
        <f>'tillage data'!AC104</f>
        <v>70</v>
      </c>
      <c r="Y129" s="239">
        <f>'tillage data'!AD104</f>
        <v>125</v>
      </c>
      <c r="Z129" s="239">
        <f>'tillage data'!AE104</f>
        <v>10</v>
      </c>
      <c r="AA129" s="239">
        <f>'tillage data'!AF104</f>
        <v>10</v>
      </c>
      <c r="AB129" s="239">
        <f>'tillage data'!AG104</f>
        <v>10</v>
      </c>
      <c r="AC129" s="239">
        <v>85</v>
      </c>
      <c r="AI129" s="245"/>
    </row>
    <row r="130" spans="15:35">
      <c r="O130" s="239" t="str">
        <f>'tillage data'!T105</f>
        <v>Anhydrous ammonia applicator - 47 ft. 6 in.</v>
      </c>
      <c r="P130" s="239" t="str">
        <f>'tillage data'!U105</f>
        <v>Anhydrous ammonia applicator</v>
      </c>
      <c r="Q130" s="239" t="str">
        <f>'tillage data'!V105</f>
        <v>47 ft. 6 in.</v>
      </c>
      <c r="R130" s="239">
        <f>'tillage data'!W105</f>
        <v>132781</v>
      </c>
      <c r="S130" s="239">
        <f>'tillage data'!X105</f>
        <v>5</v>
      </c>
      <c r="T130" s="239">
        <f>'tillage data'!Y105</f>
        <v>47.5</v>
      </c>
      <c r="U130" s="239">
        <f>'tillage data'!Z105</f>
        <v>0.8</v>
      </c>
      <c r="V130" s="239">
        <f>'tillage data'!AA105</f>
        <v>0.75</v>
      </c>
      <c r="W130" s="239">
        <f>'tillage data'!AB105</f>
        <v>61.8</v>
      </c>
      <c r="X130" s="239">
        <f>'tillage data'!AC105</f>
        <v>70</v>
      </c>
      <c r="Y130" s="239">
        <f>'tillage data'!AD105</f>
        <v>125</v>
      </c>
      <c r="Z130" s="239">
        <f>'tillage data'!AE105</f>
        <v>10</v>
      </c>
      <c r="AA130" s="239">
        <f>'tillage data'!AF105</f>
        <v>12</v>
      </c>
      <c r="AB130" s="239">
        <f>'tillage data'!AG105</f>
        <v>10</v>
      </c>
      <c r="AC130" s="239">
        <v>205</v>
      </c>
      <c r="AI130" s="245"/>
    </row>
    <row r="131" spans="15:35">
      <c r="O131" s="239" t="str">
        <f>'tillage data'!T106</f>
        <v>Anhydrous ammonia applicator - 62 ft. 6 in.</v>
      </c>
      <c r="P131" s="239" t="str">
        <f>'tillage data'!U106</f>
        <v>Anhydrous ammonia applicator</v>
      </c>
      <c r="Q131" s="239" t="str">
        <f>'tillage data'!V106</f>
        <v>62 ft. 6 in.</v>
      </c>
      <c r="R131" s="239">
        <f>'tillage data'!W106</f>
        <v>156437</v>
      </c>
      <c r="S131" s="239">
        <f>'tillage data'!X106</f>
        <v>5</v>
      </c>
      <c r="T131" s="239">
        <f>'tillage data'!Y106</f>
        <v>62.5</v>
      </c>
      <c r="U131" s="239">
        <f>'tillage data'!Z106</f>
        <v>0.8</v>
      </c>
      <c r="V131" s="239">
        <f>'tillage data'!AA106</f>
        <v>0.75</v>
      </c>
      <c r="W131" s="239">
        <f>'tillage data'!AB106</f>
        <v>61.8</v>
      </c>
      <c r="X131" s="239">
        <f>'tillage data'!AC106</f>
        <v>70</v>
      </c>
      <c r="Y131" s="239">
        <f>'tillage data'!AD106</f>
        <v>125</v>
      </c>
      <c r="Z131" s="239">
        <f>'tillage data'!AE106</f>
        <v>10</v>
      </c>
      <c r="AA131" s="239">
        <f>'tillage data'!AF106</f>
        <v>16</v>
      </c>
      <c r="AB131" s="239">
        <f>'tillage data'!AG106</f>
        <v>10</v>
      </c>
      <c r="AC131" s="239">
        <v>390</v>
      </c>
      <c r="AI131" s="245"/>
    </row>
    <row r="132" spans="15:35">
      <c r="O132" s="239" t="str">
        <f>'tillage data'!T107</f>
        <v>Liquid Fertilizer Applicator - 40 ft.</v>
      </c>
      <c r="P132" s="239" t="str">
        <f>'tillage data'!U107</f>
        <v>Liquid Fertilizer Applicator</v>
      </c>
      <c r="Q132" s="239" t="str">
        <f>'tillage data'!V107</f>
        <v>40 ft.</v>
      </c>
      <c r="R132" s="239">
        <f>'tillage data'!W107</f>
        <v>68250</v>
      </c>
      <c r="S132" s="239">
        <f>'tillage data'!X107</f>
        <v>8</v>
      </c>
      <c r="T132" s="239">
        <f>'tillage data'!Y107</f>
        <v>40</v>
      </c>
      <c r="U132" s="239">
        <f>'tillage data'!Z107</f>
        <v>0.8</v>
      </c>
      <c r="V132" s="239">
        <f>'tillage data'!AA107</f>
        <v>0.75</v>
      </c>
      <c r="W132" s="239">
        <f>'tillage data'!AB107</f>
        <v>61.8</v>
      </c>
      <c r="X132" s="239">
        <f>'tillage data'!AC107</f>
        <v>70</v>
      </c>
      <c r="Y132" s="239">
        <f>'tillage data'!AD107</f>
        <v>75</v>
      </c>
      <c r="Z132" s="239">
        <f>'tillage data'!AE107</f>
        <v>10</v>
      </c>
      <c r="AA132" s="239">
        <f>'tillage data'!AF107</f>
        <v>8</v>
      </c>
      <c r="AB132" s="239">
        <f>'tillage data'!AG107</f>
        <v>10</v>
      </c>
      <c r="AC132" s="239">
        <v>490</v>
      </c>
      <c r="AI132" s="245"/>
    </row>
    <row r="133" spans="15:35">
      <c r="O133" s="239" t="str">
        <f>'tillage data'!T108</f>
        <v xml:space="preserve">Liquid Fertilizer Applicator - 60 ft. </v>
      </c>
      <c r="P133" s="239" t="str">
        <f>'tillage data'!U108</f>
        <v>Liquid Fertilizer Applicator</v>
      </c>
      <c r="Q133" s="239" t="str">
        <f>'tillage data'!V108</f>
        <v xml:space="preserve">60 ft. </v>
      </c>
      <c r="R133" s="239">
        <f>'tillage data'!W108</f>
        <v>93000</v>
      </c>
      <c r="S133" s="239">
        <f>'tillage data'!X108</f>
        <v>8</v>
      </c>
      <c r="T133" s="239">
        <f>'tillage data'!Y108</f>
        <v>60</v>
      </c>
      <c r="U133" s="239">
        <f>'tillage data'!Z108</f>
        <v>0.8</v>
      </c>
      <c r="V133" s="239">
        <f>'tillage data'!AA108</f>
        <v>0.75</v>
      </c>
      <c r="W133" s="239">
        <f>'tillage data'!AB108</f>
        <v>61.8</v>
      </c>
      <c r="X133" s="239">
        <f>'tillage data'!AC108</f>
        <v>70</v>
      </c>
      <c r="Y133" s="239">
        <f>'tillage data'!AD108</f>
        <v>75</v>
      </c>
      <c r="Z133" s="239">
        <f>'tillage data'!AE108</f>
        <v>10</v>
      </c>
      <c r="AA133" s="239">
        <f>'tillage data'!AF108</f>
        <v>11</v>
      </c>
      <c r="AB133" s="239">
        <f>'tillage data'!AG108</f>
        <v>10</v>
      </c>
      <c r="AC133" s="239">
        <v>310</v>
      </c>
      <c r="AI133" s="245"/>
    </row>
    <row r="134" spans="15:35">
      <c r="O134" s="239" t="str">
        <f>'tillage data'!T109</f>
        <v>Field and ditch mowing - 15 ft</v>
      </c>
      <c r="P134" s="239" t="str">
        <f>'tillage data'!U109</f>
        <v>Field and ditch mowing</v>
      </c>
      <c r="Q134" s="239" t="str">
        <f>'tillage data'!V109</f>
        <v>15 ft</v>
      </c>
      <c r="R134" s="239">
        <f>'tillage data'!W109</f>
        <v>31038</v>
      </c>
      <c r="S134" s="239">
        <f>'tillage data'!X109</f>
        <v>4</v>
      </c>
      <c r="T134" s="239">
        <f>'tillage data'!Y109</f>
        <v>15</v>
      </c>
      <c r="U134" s="239">
        <f>'tillage data'!Z109</f>
        <v>0.8</v>
      </c>
      <c r="V134" s="239">
        <f>'tillage data'!AA109</f>
        <v>0.75</v>
      </c>
      <c r="W134" s="239">
        <f>'tillage data'!AB109</f>
        <v>61.8</v>
      </c>
      <c r="X134" s="239">
        <f>'tillage data'!AC109</f>
        <v>50</v>
      </c>
      <c r="Y134" s="239">
        <f>'tillage data'!AD109</f>
        <v>75</v>
      </c>
      <c r="Z134" s="239">
        <f>'tillage data'!AE109</f>
        <v>10</v>
      </c>
      <c r="AA134" s="239">
        <f>'tillage data'!AF109</f>
        <v>5</v>
      </c>
      <c r="AB134" s="239">
        <f>'tillage data'!AG109</f>
        <v>18</v>
      </c>
      <c r="AC134" s="239">
        <v>390</v>
      </c>
      <c r="AI134" s="245"/>
    </row>
    <row r="135" spans="15:35">
      <c r="O135" s="239" t="str">
        <f>'tillage data'!T110</f>
        <v>Field and ditch mowing - 20 ft.</v>
      </c>
      <c r="P135" s="239" t="str">
        <f>'tillage data'!U110</f>
        <v>Field and ditch mowing</v>
      </c>
      <c r="Q135" s="239" t="str">
        <f>'tillage data'!V110</f>
        <v>20 ft.</v>
      </c>
      <c r="R135" s="239">
        <f>'tillage data'!W110</f>
        <v>40913</v>
      </c>
      <c r="S135" s="239">
        <f>'tillage data'!X110</f>
        <v>4</v>
      </c>
      <c r="T135" s="239">
        <f>'tillage data'!Y110</f>
        <v>20</v>
      </c>
      <c r="U135" s="239">
        <f>'tillage data'!Z110</f>
        <v>0.8</v>
      </c>
      <c r="V135" s="239">
        <f>'tillage data'!AA110</f>
        <v>0.75</v>
      </c>
      <c r="W135" s="239">
        <f>'tillage data'!AB110</f>
        <v>61.8</v>
      </c>
      <c r="X135" s="239">
        <f>'tillage data'!AC110</f>
        <v>50</v>
      </c>
      <c r="Y135" s="239">
        <f>'tillage data'!AD110</f>
        <v>75</v>
      </c>
      <c r="Z135" s="239">
        <f>'tillage data'!AE110</f>
        <v>10</v>
      </c>
      <c r="AA135" s="239">
        <f>'tillage data'!AF110</f>
        <v>5</v>
      </c>
      <c r="AB135" s="239">
        <f>'tillage data'!AG110</f>
        <v>18</v>
      </c>
      <c r="AC135" s="239">
        <v>390</v>
      </c>
      <c r="AI135" s="245"/>
    </row>
    <row r="136" spans="15:35">
      <c r="O136" s="239" t="str">
        <f>'tillage data'!T111</f>
        <v>Combination Ripper - 14 ft</v>
      </c>
      <c r="P136" s="239" t="str">
        <f>'tillage data'!U111</f>
        <v>Combination Ripper</v>
      </c>
      <c r="Q136" s="239" t="str">
        <f>'tillage data'!V111</f>
        <v>14 ft</v>
      </c>
      <c r="R136" s="239">
        <f>'tillage data'!W111</f>
        <v>109227</v>
      </c>
      <c r="S136" s="239">
        <f>'tillage data'!X111</f>
        <v>7</v>
      </c>
      <c r="T136" s="239">
        <f>'tillage data'!Y111</f>
        <v>14</v>
      </c>
      <c r="U136" s="239">
        <f>'tillage data'!Z111</f>
        <v>0.82499999999999996</v>
      </c>
      <c r="V136" s="239">
        <f>'tillage data'!AA111</f>
        <v>0.85</v>
      </c>
      <c r="W136" s="239">
        <f>'tillage data'!AB111</f>
        <v>90</v>
      </c>
      <c r="X136" s="239">
        <f>'tillage data'!AC111</f>
        <v>70</v>
      </c>
      <c r="Y136" s="239">
        <f>'tillage data'!AD111</f>
        <v>125</v>
      </c>
      <c r="Z136" s="239">
        <f>'tillage data'!AE111</f>
        <v>10</v>
      </c>
      <c r="AA136" s="239">
        <f>'tillage data'!AF111</f>
        <v>13</v>
      </c>
      <c r="AB136" s="239">
        <f>'tillage data'!AG111</f>
        <v>14</v>
      </c>
      <c r="AC136" s="239">
        <v>490</v>
      </c>
      <c r="AI136" s="245"/>
    </row>
    <row r="137" spans="15:35">
      <c r="O137" s="239" t="str">
        <f>'tillage data'!T112</f>
        <v>Combination Ripper - 18 ft rigid</v>
      </c>
      <c r="P137" s="239" t="str">
        <f>'tillage data'!U112</f>
        <v>Combination Ripper</v>
      </c>
      <c r="Q137" s="239" t="str">
        <f>'tillage data'!V112</f>
        <v>18 ft rigid</v>
      </c>
      <c r="R137" s="239">
        <f>'tillage data'!W112</f>
        <v>133032</v>
      </c>
      <c r="S137" s="239">
        <f>'tillage data'!X112</f>
        <v>7</v>
      </c>
      <c r="T137" s="239">
        <f>'tillage data'!Y112</f>
        <v>18</v>
      </c>
      <c r="U137" s="239">
        <f>'tillage data'!Z112</f>
        <v>0.82499999999999996</v>
      </c>
      <c r="V137" s="239">
        <f>'tillage data'!AA112</f>
        <v>0.85</v>
      </c>
      <c r="W137" s="239">
        <f>'tillage data'!AB112</f>
        <v>90</v>
      </c>
      <c r="X137" s="239">
        <f>'tillage data'!AC112</f>
        <v>70</v>
      </c>
      <c r="Y137" s="239">
        <f>'tillage data'!AD112</f>
        <v>125</v>
      </c>
      <c r="Z137" s="239">
        <f>'tillage data'!AE112</f>
        <v>10</v>
      </c>
      <c r="AA137" s="239">
        <f>'tillage data'!AF112</f>
        <v>14</v>
      </c>
      <c r="AB137" s="239">
        <f>'tillage data'!AG112</f>
        <v>14</v>
      </c>
      <c r="AC137" s="239">
        <v>590</v>
      </c>
      <c r="AI137" s="245"/>
    </row>
    <row r="138" spans="15:35">
      <c r="O138" s="239" t="str">
        <f>'tillage data'!T113</f>
        <v>Combination Ripper - 18 ft folding</v>
      </c>
      <c r="P138" s="239" t="str">
        <f>'tillage data'!U113</f>
        <v>Combination Ripper</v>
      </c>
      <c r="Q138" s="239" t="str">
        <f>'tillage data'!V113</f>
        <v>18 ft folding</v>
      </c>
      <c r="R138" s="239">
        <f>'tillage data'!W113</f>
        <v>145926</v>
      </c>
      <c r="S138" s="239">
        <f>'tillage data'!X113</f>
        <v>7</v>
      </c>
      <c r="T138" s="239">
        <f>'tillage data'!Y113</f>
        <v>18</v>
      </c>
      <c r="U138" s="239">
        <f>'tillage data'!Z113</f>
        <v>0.82499999999999996</v>
      </c>
      <c r="V138" s="239">
        <f>'tillage data'!AA113</f>
        <v>0.85</v>
      </c>
      <c r="W138" s="239">
        <f>'tillage data'!AB113</f>
        <v>90</v>
      </c>
      <c r="X138" s="239">
        <f>'tillage data'!AC113</f>
        <v>70</v>
      </c>
      <c r="Y138" s="239">
        <f>'tillage data'!AD113</f>
        <v>125</v>
      </c>
      <c r="Z138" s="239">
        <f>'tillage data'!AE113</f>
        <v>10</v>
      </c>
      <c r="AA138" s="239">
        <f>'tillage data'!AF113</f>
        <v>14</v>
      </c>
      <c r="AB138" s="239">
        <f>'tillage data'!AG113</f>
        <v>14</v>
      </c>
      <c r="AC138" s="239">
        <v>260</v>
      </c>
      <c r="AI138" s="245"/>
    </row>
    <row r="139" spans="15:35">
      <c r="O139" s="239" t="str">
        <f>'tillage data'!T114</f>
        <v>Combination Ripper - 22 ft</v>
      </c>
      <c r="P139" s="239" t="str">
        <f>'tillage data'!U114</f>
        <v>Combination Ripper</v>
      </c>
      <c r="Q139" s="239" t="str">
        <f>'tillage data'!V114</f>
        <v>22 ft</v>
      </c>
      <c r="R139" s="239">
        <f>'tillage data'!W114</f>
        <v>181106</v>
      </c>
      <c r="S139" s="239">
        <f>'tillage data'!X114</f>
        <v>7</v>
      </c>
      <c r="T139" s="239">
        <f>'tillage data'!Y114</f>
        <v>22</v>
      </c>
      <c r="U139" s="239">
        <f>'tillage data'!Z114</f>
        <v>0.82499999999999996</v>
      </c>
      <c r="V139" s="239">
        <f>'tillage data'!AA114</f>
        <v>0.85</v>
      </c>
      <c r="W139" s="239">
        <f>'tillage data'!AB114</f>
        <v>90</v>
      </c>
      <c r="X139" s="239">
        <f>'tillage data'!AC114</f>
        <v>70</v>
      </c>
      <c r="Y139" s="239">
        <f>'tillage data'!AD114</f>
        <v>125</v>
      </c>
      <c r="Z139" s="239">
        <f>'tillage data'!AE114</f>
        <v>10</v>
      </c>
      <c r="AA139" s="239">
        <f>'tillage data'!AF114</f>
        <v>16</v>
      </c>
      <c r="AB139" s="239">
        <f>'tillage data'!AG114</f>
        <v>14</v>
      </c>
      <c r="AC139" s="239">
        <v>285</v>
      </c>
      <c r="AI139" s="245"/>
    </row>
    <row r="140" spans="15:35">
      <c r="O140" s="239" t="str">
        <f>'tillage data'!T115</f>
        <v>Combination Ripper - 24 ft</v>
      </c>
      <c r="P140" s="239" t="str">
        <f>'tillage data'!U115</f>
        <v>Combination Ripper</v>
      </c>
      <c r="Q140" s="239" t="str">
        <f>'tillage data'!V115</f>
        <v>24 ft</v>
      </c>
      <c r="R140" s="239">
        <f>'tillage data'!W115</f>
        <v>211440</v>
      </c>
      <c r="S140" s="239">
        <f>'tillage data'!X115</f>
        <v>7</v>
      </c>
      <c r="T140" s="239">
        <f>'tillage data'!Y115</f>
        <v>24</v>
      </c>
      <c r="U140" s="239">
        <f>'tillage data'!Z115</f>
        <v>0.82499999999999996</v>
      </c>
      <c r="V140" s="239">
        <f>'tillage data'!AA115</f>
        <v>0.85</v>
      </c>
      <c r="W140" s="239">
        <f>'tillage data'!AB115</f>
        <v>90</v>
      </c>
      <c r="X140" s="239">
        <f>'tillage data'!AC115</f>
        <v>70</v>
      </c>
      <c r="Y140" s="239">
        <f>'tillage data'!AD115</f>
        <v>125</v>
      </c>
      <c r="Z140" s="239">
        <f>'tillage data'!AE115</f>
        <v>10</v>
      </c>
      <c r="AA140" s="239">
        <f>'tillage data'!AF115</f>
        <v>17</v>
      </c>
      <c r="AB140" s="239">
        <f>'tillage data'!AG115</f>
        <v>14</v>
      </c>
      <c r="AC140" s="239">
        <v>390</v>
      </c>
      <c r="AI140" s="245"/>
    </row>
    <row r="141" spans="15:35">
      <c r="O141" s="239" t="str">
        <f>'tillage data'!T116</f>
        <v>High Performance Disk - 17 ft 7 in.</v>
      </c>
      <c r="P141" s="239" t="str">
        <f>'tillage data'!U116</f>
        <v>High Performance Disk</v>
      </c>
      <c r="Q141" s="239" t="str">
        <f>'tillage data'!V116</f>
        <v>17 ft 7 in.</v>
      </c>
      <c r="R141" s="239">
        <f>'tillage data'!W116</f>
        <v>113021</v>
      </c>
      <c r="S141" s="239">
        <f>'tillage data'!X116</f>
        <v>10</v>
      </c>
      <c r="T141" s="239">
        <f>'tillage data'!Y116</f>
        <v>17.579999999999998</v>
      </c>
      <c r="U141" s="239">
        <f>'tillage data'!Z116</f>
        <v>0.82499999999999996</v>
      </c>
      <c r="V141" s="239">
        <f>'tillage data'!AA116</f>
        <v>0.85</v>
      </c>
      <c r="W141" s="239">
        <f>'tillage data'!AB116</f>
        <v>90</v>
      </c>
      <c r="X141" s="239">
        <f>'tillage data'!AC116</f>
        <v>70</v>
      </c>
      <c r="Y141" s="239">
        <f>'tillage data'!AD116</f>
        <v>125</v>
      </c>
      <c r="Z141" s="239">
        <f>'tillage data'!AE116</f>
        <v>10</v>
      </c>
      <c r="AA141" s="239">
        <f>'tillage data'!AF116</f>
        <v>11</v>
      </c>
      <c r="AB141" s="239">
        <f>'tillage data'!AG116</f>
        <v>4</v>
      </c>
      <c r="AC141" s="239">
        <v>440</v>
      </c>
      <c r="AI141" s="245"/>
    </row>
    <row r="142" spans="15:35">
      <c r="O142" s="239" t="str">
        <f>'tillage data'!T117</f>
        <v>High Performance Disk - 24 ft 4 in.</v>
      </c>
      <c r="P142" s="239" t="str">
        <f>'tillage data'!U117</f>
        <v>High Performance Disk</v>
      </c>
      <c r="Q142" s="239" t="str">
        <f>'tillage data'!V117</f>
        <v>24 ft 4 in.</v>
      </c>
      <c r="R142" s="239">
        <f>'tillage data'!W117</f>
        <v>121176</v>
      </c>
      <c r="S142" s="239">
        <f>'tillage data'!X117</f>
        <v>10</v>
      </c>
      <c r="T142" s="239">
        <f>'tillage data'!Y117</f>
        <v>24.332999999999998</v>
      </c>
      <c r="U142" s="239">
        <f>'tillage data'!Z117</f>
        <v>0.82499999999999996</v>
      </c>
      <c r="V142" s="239">
        <f>'tillage data'!AA117</f>
        <v>0.85</v>
      </c>
      <c r="W142" s="239">
        <f>'tillage data'!AB117</f>
        <v>90</v>
      </c>
      <c r="X142" s="239">
        <f>'tillage data'!AC117</f>
        <v>70</v>
      </c>
      <c r="Y142" s="239">
        <f>'tillage data'!AD117</f>
        <v>125</v>
      </c>
      <c r="Z142" s="239">
        <f>'tillage data'!AE117</f>
        <v>10</v>
      </c>
      <c r="AA142" s="239">
        <f>'tillage data'!AF117</f>
        <v>13</v>
      </c>
      <c r="AB142" s="239">
        <f>'tillage data'!AG117</f>
        <v>4</v>
      </c>
      <c r="AC142" s="239">
        <v>590</v>
      </c>
      <c r="AI142" s="245"/>
    </row>
    <row r="143" spans="15:35">
      <c r="AI143" s="245"/>
    </row>
    <row r="144" spans="15:35">
      <c r="AI144" s="245"/>
    </row>
    <row r="145" spans="35:35">
      <c r="AI145" s="245"/>
    </row>
    <row r="146" spans="35:35">
      <c r="AI146" s="245"/>
    </row>
    <row r="147" spans="35:35">
      <c r="AI147" s="245"/>
    </row>
    <row r="148" spans="35:35">
      <c r="AI148" s="245"/>
    </row>
    <row r="149" spans="35:35">
      <c r="AI149" s="245"/>
    </row>
    <row r="150" spans="35:35">
      <c r="AI150" s="245"/>
    </row>
    <row r="151" spans="35:35">
      <c r="AI151" s="245"/>
    </row>
    <row r="152" spans="35:35">
      <c r="AI152" s="245"/>
    </row>
    <row r="153" spans="35:35">
      <c r="AI153" s="245"/>
    </row>
    <row r="154" spans="35:35">
      <c r="AI154" s="245"/>
    </row>
    <row r="155" spans="35:35">
      <c r="AI155" s="245"/>
    </row>
    <row r="156" spans="35:35">
      <c r="AI156" s="245"/>
    </row>
    <row r="157" spans="35:35">
      <c r="AI157" s="245"/>
    </row>
    <row r="158" spans="35:35">
      <c r="AI158" s="245"/>
    </row>
    <row r="159" spans="35:35">
      <c r="AI159" s="245"/>
    </row>
    <row r="160" spans="35:35">
      <c r="AI160" s="245"/>
    </row>
    <row r="161" spans="35:35">
      <c r="AI161" s="245"/>
    </row>
    <row r="162" spans="35:35">
      <c r="AI162" s="245"/>
    </row>
    <row r="163" spans="35:35">
      <c r="AI163" s="245"/>
    </row>
    <row r="164" spans="35:35">
      <c r="AI164" s="245"/>
    </row>
    <row r="165" spans="35:35">
      <c r="AI165" s="245"/>
    </row>
    <row r="166" spans="35:35">
      <c r="AI166" s="245"/>
    </row>
  </sheetData>
  <sheetProtection algorithmName="SHA-512" hashValue="xdE8JJtReyCgBDNIXHHBYGNGpJIQbqVPpr5Ezeu7WURLWK/VSYzjv1EdySYLASoTt5nSY9A3PC/RujX8v3tKeg==" saltValue="BtQbdlqcvIA8uoAAMHVcQQ==" spinCount="100000" sheet="1" objects="1" scenarios="1"/>
  <mergeCells count="11">
    <mergeCell ref="AM28:AO28"/>
    <mergeCell ref="AP28:AR28"/>
    <mergeCell ref="AU28:AW28"/>
    <mergeCell ref="AX28:AZ28"/>
    <mergeCell ref="V6:W6"/>
    <mergeCell ref="X6:Y6"/>
    <mergeCell ref="D25:E25"/>
    <mergeCell ref="D8:K8"/>
    <mergeCell ref="P6:Q6"/>
    <mergeCell ref="R6:S6"/>
    <mergeCell ref="T6:U6"/>
  </mergeCells>
  <phoneticPr fontId="13" type="noConversion"/>
  <dataValidations count="2">
    <dataValidation type="list" allowBlank="1" showInputMessage="1" showErrorMessage="1" sqref="D25:E25" xr:uid="{00000000-0002-0000-0300-000000000000}">
      <formula1>$AE$29:$AE$46</formula1>
    </dataValidation>
    <dataValidation type="list" allowBlank="1" showInputMessage="1" showErrorMessage="1" sqref="D8:K8" xr:uid="{31626B7A-6FB6-484D-B68D-5737D9563C11}">
      <formula1>$O$29:$O$142</formula1>
    </dataValidation>
  </dataValidations>
  <pageMargins left="0.75" right="0.75" top="1" bottom="1" header="0.5" footer="0.5"/>
  <pageSetup orientation="portrait" r:id="rId1"/>
  <headerFooter alignWithMargins="0"/>
  <drawing r:id="rId2"/>
  <legacyDrawing r:id="rId3"/>
  <mc:AlternateContent xmlns:mc="http://schemas.openxmlformats.org/markup-compatibility/2006">
    <mc:Choice Requires="x14">
      <controls>
        <mc:AlternateContent xmlns:mc="http://schemas.openxmlformats.org/markup-compatibility/2006">
          <mc:Choice Requires="x14">
            <control shapeId="6190" r:id="rId4" name="Button 46">
              <controlPr defaultSize="0" print="0" autoFill="0" autoPict="0" macro="[0]!menu">
                <anchor moveWithCells="1" sizeWithCells="1">
                  <from>
                    <xdr:col>7</xdr:col>
                    <xdr:colOff>0</xdr:colOff>
                    <xdr:row>2</xdr:row>
                    <xdr:rowOff>0</xdr:rowOff>
                  </from>
                  <to>
                    <xdr:col>7</xdr:col>
                    <xdr:colOff>1079500</xdr:colOff>
                    <xdr:row>4</xdr:row>
                    <xdr:rowOff>0</xdr:rowOff>
                  </to>
                </anchor>
              </controlPr>
            </control>
          </mc:Choice>
        </mc:AlternateContent>
        <mc:AlternateContent xmlns:mc="http://schemas.openxmlformats.org/markup-compatibility/2006">
          <mc:Choice Requires="x14">
            <control shapeId="6192" r:id="rId5" name="Button 48">
              <controlPr defaultSize="0" print="0" autoFill="0" autoPict="0" macro="[0]!Sheet4.printtillage">
                <anchor moveWithCells="1" sizeWithCells="1">
                  <from>
                    <xdr:col>10</xdr:col>
                    <xdr:colOff>0</xdr:colOff>
                    <xdr:row>2</xdr:row>
                    <xdr:rowOff>0</xdr:rowOff>
                  </from>
                  <to>
                    <xdr:col>11</xdr:col>
                    <xdr:colOff>0</xdr:colOff>
                    <xdr:row>4</xdr:row>
                    <xdr:rowOff>0</xdr:rowOff>
                  </to>
                </anchor>
              </controlPr>
            </control>
          </mc:Choice>
        </mc:AlternateContent>
        <mc:AlternateContent xmlns:mc="http://schemas.openxmlformats.org/markup-compatibility/2006">
          <mc:Choice Requires="x14">
            <control shapeId="6194" r:id="rId6" name="Button 50">
              <controlPr defaultSize="0" print="0" autoFill="0" autoPict="0" macro="[0]!Sheet4.imp_default_prices">
                <anchor moveWithCells="1" sizeWithCells="1">
                  <from>
                    <xdr:col>2</xdr:col>
                    <xdr:colOff>0</xdr:colOff>
                    <xdr:row>20</xdr:row>
                    <xdr:rowOff>0</xdr:rowOff>
                  </from>
                  <to>
                    <xdr:col>4</xdr:col>
                    <xdr:colOff>0</xdr:colOff>
                    <xdr:row>22</xdr:row>
                    <xdr:rowOff>0</xdr:rowOff>
                  </to>
                </anchor>
              </controlPr>
            </control>
          </mc:Choice>
        </mc:AlternateContent>
        <mc:AlternateContent xmlns:mc="http://schemas.openxmlformats.org/markup-compatibility/2006">
          <mc:Choice Requires="x14">
            <control shapeId="6195" r:id="rId7" name="Button 51">
              <controlPr defaultSize="0" print="0" autoFill="0" autoPict="0" macro="[0]!Sheet4.tractor_default_prices">
                <anchor moveWithCells="1" sizeWithCells="1">
                  <from>
                    <xdr:col>2</xdr:col>
                    <xdr:colOff>0</xdr:colOff>
                    <xdr:row>34</xdr:row>
                    <xdr:rowOff>0</xdr:rowOff>
                  </from>
                  <to>
                    <xdr:col>3</xdr:col>
                    <xdr:colOff>0</xdr:colOff>
                    <xdr:row>37</xdr:row>
                    <xdr:rowOff>0</xdr:rowOff>
                  </to>
                </anchor>
              </controlPr>
            </control>
          </mc:Choice>
        </mc:AlternateContent>
        <mc:AlternateContent xmlns:mc="http://schemas.openxmlformats.org/markup-compatibility/2006">
          <mc:Choice Requires="x14">
            <control shapeId="6197" r:id="rId8" name="Button 53">
              <controlPr defaultSize="0" print="0" autoFill="0" autoPict="0" macro="[0]!Sheet4.main_input">
                <anchor moveWithCells="1" sizeWithCells="1">
                  <from>
                    <xdr:col>2</xdr:col>
                    <xdr:colOff>0</xdr:colOff>
                    <xdr:row>43</xdr:row>
                    <xdr:rowOff>0</xdr:rowOff>
                  </from>
                  <to>
                    <xdr:col>4</xdr:col>
                    <xdr:colOff>0</xdr:colOff>
                    <xdr:row>45</xdr:row>
                    <xdr:rowOff>0</xdr:rowOff>
                  </to>
                </anchor>
              </controlPr>
            </control>
          </mc:Choice>
        </mc:AlternateContent>
        <mc:AlternateContent xmlns:mc="http://schemas.openxmlformats.org/markup-compatibility/2006">
          <mc:Choice Requires="x14">
            <control shapeId="6199" r:id="rId9" name="Button 55">
              <controlPr defaultSize="0" print="0" autoFill="0" autoPict="0" macro="[0]!Sheet4.tractor_inter">
                <anchor moveWithCells="1" sizeWithCells="1">
                  <from>
                    <xdr:col>10</xdr:col>
                    <xdr:colOff>0</xdr:colOff>
                    <xdr:row>23</xdr:row>
                    <xdr:rowOff>0</xdr:rowOff>
                  </from>
                  <to>
                    <xdr:col>12</xdr:col>
                    <xdr:colOff>0</xdr:colOff>
                    <xdr:row>26</xdr:row>
                    <xdr:rowOff>0</xdr:rowOff>
                  </to>
                </anchor>
              </controlPr>
            </control>
          </mc:Choice>
        </mc:AlternateContent>
        <mc:AlternateContent xmlns:mc="http://schemas.openxmlformats.org/markup-compatibility/2006">
          <mc:Choice Requires="x14">
            <control shapeId="6201" r:id="rId10" name="Button 57">
              <controlPr defaultSize="0" print="0" autoFill="0" autoPict="0" macro="[0]!Sheet4.imp_inter">
                <anchor moveWithCells="1" sizeWithCells="1">
                  <from>
                    <xdr:col>10</xdr:col>
                    <xdr:colOff>0</xdr:colOff>
                    <xdr:row>9</xdr:row>
                    <xdr:rowOff>0</xdr:rowOff>
                  </from>
                  <to>
                    <xdr:col>12</xdr:col>
                    <xdr:colOff>0</xdr:colOff>
                    <xdr:row>12</xdr:row>
                    <xdr:rowOff>0</xdr:rowOff>
                  </to>
                </anchor>
              </controlPr>
            </control>
          </mc:Choice>
        </mc:AlternateContent>
      </controls>
    </mc:Choice>
  </mc:AlternateConten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C7C38B1-77B8-4631-8ACB-19124F3ED670}">
  <sheetPr codeName="Sheet5"/>
  <dimension ref="A2:AG148"/>
  <sheetViews>
    <sheetView zoomScaleNormal="100" workbookViewId="0"/>
  </sheetViews>
  <sheetFormatPr defaultRowHeight="12.5"/>
  <cols>
    <col min="1" max="19" width="9.08984375" style="239"/>
    <col min="20" max="20" width="45" style="239" bestFit="1" customWidth="1"/>
    <col min="21" max="21" width="34.6328125" style="239" bestFit="1" customWidth="1"/>
    <col min="22" max="33" width="9.08984375" style="239"/>
  </cols>
  <sheetData>
    <row r="2" spans="1:33">
      <c r="B2" s="239" t="s">
        <v>74</v>
      </c>
      <c r="D2" s="239" t="s">
        <v>47</v>
      </c>
      <c r="E2" s="239" t="s">
        <v>118</v>
      </c>
      <c r="G2" s="239" t="s">
        <v>119</v>
      </c>
      <c r="K2" s="239" t="s">
        <v>94</v>
      </c>
      <c r="L2" s="239" t="s">
        <v>120</v>
      </c>
      <c r="W2" s="239" t="s">
        <v>74</v>
      </c>
      <c r="Y2" s="239" t="s">
        <v>47</v>
      </c>
      <c r="Z2" s="239" t="s">
        <v>118</v>
      </c>
      <c r="AB2" s="286" t="s">
        <v>119</v>
      </c>
      <c r="AC2" s="286"/>
      <c r="AD2" s="286"/>
      <c r="AF2" s="239" t="s">
        <v>94</v>
      </c>
      <c r="AG2" s="239" t="s">
        <v>120</v>
      </c>
    </row>
    <row r="3" spans="1:33">
      <c r="A3" s="239" t="s">
        <v>110</v>
      </c>
      <c r="B3" s="239" t="s">
        <v>121</v>
      </c>
      <c r="C3" s="239" t="s">
        <v>28</v>
      </c>
      <c r="D3" s="239" t="s">
        <v>122</v>
      </c>
      <c r="E3" s="239" t="s">
        <v>123</v>
      </c>
      <c r="F3" s="239" t="s">
        <v>124</v>
      </c>
      <c r="G3" s="239" t="s">
        <v>125</v>
      </c>
      <c r="H3" s="239" t="s">
        <v>126</v>
      </c>
      <c r="I3" s="239" t="s">
        <v>127</v>
      </c>
      <c r="J3" s="239" t="s">
        <v>128</v>
      </c>
      <c r="K3" s="239" t="s">
        <v>129</v>
      </c>
      <c r="L3" s="239" t="s">
        <v>129</v>
      </c>
      <c r="O3" s="239" t="s">
        <v>419</v>
      </c>
      <c r="P3" s="239" t="s">
        <v>420</v>
      </c>
      <c r="Q3" s="239" t="s">
        <v>421</v>
      </c>
      <c r="R3" s="239" t="s">
        <v>422</v>
      </c>
      <c r="U3" s="239" t="s">
        <v>424</v>
      </c>
      <c r="V3" s="239" t="s">
        <v>423</v>
      </c>
      <c r="W3" s="239" t="s">
        <v>121</v>
      </c>
      <c r="X3" s="239" t="s">
        <v>28</v>
      </c>
      <c r="Y3" s="239" t="s">
        <v>122</v>
      </c>
      <c r="Z3" s="239" t="s">
        <v>123</v>
      </c>
      <c r="AA3" s="239" t="s">
        <v>124</v>
      </c>
      <c r="AB3" s="246" t="s">
        <v>125</v>
      </c>
      <c r="AC3" s="246" t="s">
        <v>126</v>
      </c>
      <c r="AD3" s="246" t="s">
        <v>127</v>
      </c>
      <c r="AE3" s="239" t="s">
        <v>128</v>
      </c>
      <c r="AF3" s="239" t="s">
        <v>129</v>
      </c>
      <c r="AG3" s="239" t="s">
        <v>129</v>
      </c>
    </row>
    <row r="4" spans="1:33">
      <c r="A4" s="239" t="s">
        <v>200</v>
      </c>
      <c r="N4" s="239">
        <v>1</v>
      </c>
      <c r="O4" s="239">
        <v>0.67</v>
      </c>
      <c r="P4" s="239">
        <v>0.94</v>
      </c>
      <c r="Q4" s="239">
        <v>7.0000000000000001E-3</v>
      </c>
      <c r="R4" s="239">
        <v>2</v>
      </c>
      <c r="T4" s="239" t="str">
        <f>_xlfn.CONCAT(U4," - ",V4)</f>
        <v>Chisel plow - 12 ft</v>
      </c>
      <c r="U4" s="239" t="str">
        <f>$A$4</f>
        <v>Chisel plow</v>
      </c>
      <c r="V4" s="239" t="str">
        <f>A5</f>
        <v>12 ft</v>
      </c>
      <c r="W4" s="239">
        <f t="shared" ref="W4:AG15" si="0">B5</f>
        <v>31812</v>
      </c>
      <c r="X4" s="239">
        <f t="shared" si="0"/>
        <v>6</v>
      </c>
      <c r="Y4" s="239">
        <f t="shared" si="0"/>
        <v>12</v>
      </c>
      <c r="Z4" s="239">
        <f t="shared" si="0"/>
        <v>0.82499999999999996</v>
      </c>
      <c r="AA4" s="239">
        <f t="shared" si="0"/>
        <v>0.85</v>
      </c>
      <c r="AB4" s="239">
        <f t="shared" si="0"/>
        <v>90</v>
      </c>
      <c r="AC4" s="239">
        <f t="shared" si="0"/>
        <v>70</v>
      </c>
      <c r="AD4" s="239">
        <f t="shared" si="0"/>
        <v>125</v>
      </c>
      <c r="AE4" s="239">
        <f t="shared" si="0"/>
        <v>10</v>
      </c>
      <c r="AF4" s="239">
        <f t="shared" si="0"/>
        <v>4</v>
      </c>
      <c r="AG4" s="239">
        <f t="shared" si="0"/>
        <v>3</v>
      </c>
    </row>
    <row r="5" spans="1:33">
      <c r="A5" s="239" t="s">
        <v>336</v>
      </c>
      <c r="B5" s="239">
        <v>31812</v>
      </c>
      <c r="C5" s="239">
        <v>6</v>
      </c>
      <c r="D5" s="239">
        <v>12</v>
      </c>
      <c r="E5" s="239">
        <v>0.82499999999999996</v>
      </c>
      <c r="F5" s="239">
        <v>0.85</v>
      </c>
      <c r="G5" s="239">
        <v>90</v>
      </c>
      <c r="H5" s="239">
        <v>70</v>
      </c>
      <c r="I5" s="239">
        <v>125</v>
      </c>
      <c r="J5" s="239">
        <v>10</v>
      </c>
      <c r="K5" s="239">
        <v>4</v>
      </c>
      <c r="L5" s="239">
        <v>3</v>
      </c>
      <c r="N5" s="239">
        <v>2</v>
      </c>
      <c r="O5" s="239">
        <v>0.67</v>
      </c>
      <c r="P5" s="239">
        <v>0.92</v>
      </c>
      <c r="Q5" s="239">
        <v>0.28699999999999998</v>
      </c>
      <c r="R5" s="239">
        <v>1.8</v>
      </c>
      <c r="T5" s="239" t="str">
        <f t="shared" ref="T5:T66" si="1">_xlfn.CONCAT(U5," - ",V5)</f>
        <v>Chisel plow - 15 ft</v>
      </c>
      <c r="U5" s="239" t="str">
        <f t="shared" ref="U5:U15" si="2">$A$4</f>
        <v>Chisel plow</v>
      </c>
      <c r="V5" s="239" t="str">
        <f t="shared" ref="V5:V15" si="3">A6</f>
        <v>15 ft</v>
      </c>
      <c r="W5" s="239">
        <f t="shared" si="0"/>
        <v>34456</v>
      </c>
      <c r="X5" s="239">
        <f t="shared" si="0"/>
        <v>6</v>
      </c>
      <c r="Y5" s="239">
        <f t="shared" si="0"/>
        <v>15</v>
      </c>
      <c r="Z5" s="239">
        <f t="shared" si="0"/>
        <v>0.82499999999999996</v>
      </c>
      <c r="AA5" s="239">
        <f t="shared" si="0"/>
        <v>0.85</v>
      </c>
      <c r="AB5" s="239">
        <f t="shared" si="0"/>
        <v>90</v>
      </c>
      <c r="AC5" s="239">
        <f t="shared" si="0"/>
        <v>70</v>
      </c>
      <c r="AD5" s="239">
        <f t="shared" si="0"/>
        <v>125</v>
      </c>
      <c r="AE5" s="239">
        <f t="shared" si="0"/>
        <v>10</v>
      </c>
      <c r="AF5" s="239">
        <f t="shared" si="0"/>
        <v>6</v>
      </c>
      <c r="AG5" s="239">
        <f t="shared" si="0"/>
        <v>3</v>
      </c>
    </row>
    <row r="6" spans="1:33">
      <c r="A6" s="239" t="s">
        <v>50</v>
      </c>
      <c r="B6" s="239">
        <v>34456</v>
      </c>
      <c r="C6" s="239">
        <v>6</v>
      </c>
      <c r="D6" s="239">
        <v>15</v>
      </c>
      <c r="E6" s="239">
        <v>0.82499999999999996</v>
      </c>
      <c r="F6" s="239">
        <v>0.85</v>
      </c>
      <c r="G6" s="239">
        <v>90</v>
      </c>
      <c r="H6" s="239">
        <v>70</v>
      </c>
      <c r="I6" s="239">
        <v>125</v>
      </c>
      <c r="J6" s="239">
        <v>10</v>
      </c>
      <c r="K6" s="239">
        <v>6</v>
      </c>
      <c r="L6" s="239">
        <v>3</v>
      </c>
      <c r="N6" s="239">
        <v>3</v>
      </c>
      <c r="O6" s="239">
        <v>0.67</v>
      </c>
      <c r="P6" s="239">
        <v>0.92</v>
      </c>
      <c r="Q6" s="239">
        <v>0.26500000000000001</v>
      </c>
      <c r="R6" s="239">
        <v>1.4</v>
      </c>
      <c r="T6" s="239" t="str">
        <f t="shared" si="1"/>
        <v>Chisel plow - 21 ft</v>
      </c>
      <c r="U6" s="239" t="str">
        <f t="shared" si="2"/>
        <v>Chisel plow</v>
      </c>
      <c r="V6" s="239" t="str">
        <f t="shared" si="3"/>
        <v>21 ft</v>
      </c>
      <c r="W6" s="239">
        <f t="shared" si="0"/>
        <v>64286</v>
      </c>
      <c r="X6" s="239">
        <f t="shared" si="0"/>
        <v>6</v>
      </c>
      <c r="Y6" s="239">
        <f t="shared" si="0"/>
        <v>21</v>
      </c>
      <c r="Z6" s="239">
        <f t="shared" si="0"/>
        <v>0.82499999999999996</v>
      </c>
      <c r="AA6" s="239">
        <f t="shared" si="0"/>
        <v>0.85</v>
      </c>
      <c r="AB6" s="239">
        <f t="shared" si="0"/>
        <v>90</v>
      </c>
      <c r="AC6" s="239">
        <f t="shared" si="0"/>
        <v>70</v>
      </c>
      <c r="AD6" s="239">
        <f t="shared" si="0"/>
        <v>125</v>
      </c>
      <c r="AE6" s="239">
        <f t="shared" si="0"/>
        <v>10</v>
      </c>
      <c r="AF6" s="239">
        <f t="shared" si="0"/>
        <v>8</v>
      </c>
      <c r="AG6" s="239">
        <f t="shared" si="0"/>
        <v>3</v>
      </c>
    </row>
    <row r="7" spans="1:33">
      <c r="A7" s="239" t="s">
        <v>337</v>
      </c>
      <c r="B7" s="239">
        <v>64286</v>
      </c>
      <c r="C7" s="239">
        <v>6</v>
      </c>
      <c r="D7" s="239">
        <v>21</v>
      </c>
      <c r="E7" s="239">
        <v>0.82499999999999996</v>
      </c>
      <c r="F7" s="239">
        <v>0.85</v>
      </c>
      <c r="G7" s="239">
        <v>90</v>
      </c>
      <c r="H7" s="239">
        <v>70</v>
      </c>
      <c r="I7" s="239">
        <v>125</v>
      </c>
      <c r="J7" s="239">
        <v>10</v>
      </c>
      <c r="K7" s="239">
        <v>8</v>
      </c>
      <c r="L7" s="239">
        <v>3</v>
      </c>
      <c r="N7" s="239">
        <v>4</v>
      </c>
      <c r="O7" s="239">
        <v>0.67</v>
      </c>
      <c r="P7" s="239">
        <v>0.92</v>
      </c>
      <c r="Q7" s="239">
        <v>0.26500000000000001</v>
      </c>
      <c r="R7" s="239">
        <v>1.4</v>
      </c>
      <c r="T7" s="239" t="str">
        <f t="shared" si="1"/>
        <v>Chisel plow - 23 ft</v>
      </c>
      <c r="U7" s="239" t="str">
        <f t="shared" si="2"/>
        <v>Chisel plow</v>
      </c>
      <c r="V7" s="239" t="str">
        <f t="shared" si="3"/>
        <v>23 ft</v>
      </c>
      <c r="W7" s="239">
        <f t="shared" si="0"/>
        <v>75426</v>
      </c>
      <c r="X7" s="239">
        <f t="shared" si="0"/>
        <v>6</v>
      </c>
      <c r="Y7" s="239">
        <f t="shared" si="0"/>
        <v>23</v>
      </c>
      <c r="Z7" s="239">
        <f t="shared" si="0"/>
        <v>0.82499999999999996</v>
      </c>
      <c r="AA7" s="239">
        <f t="shared" si="0"/>
        <v>0.85</v>
      </c>
      <c r="AB7" s="239">
        <f t="shared" si="0"/>
        <v>90</v>
      </c>
      <c r="AC7" s="239">
        <f t="shared" si="0"/>
        <v>70</v>
      </c>
      <c r="AD7" s="239">
        <f t="shared" si="0"/>
        <v>125</v>
      </c>
      <c r="AE7" s="239">
        <f t="shared" si="0"/>
        <v>10</v>
      </c>
      <c r="AF7" s="239">
        <f t="shared" si="0"/>
        <v>9</v>
      </c>
      <c r="AG7" s="239">
        <f t="shared" si="0"/>
        <v>3</v>
      </c>
    </row>
    <row r="8" spans="1:33">
      <c r="A8" s="239" t="s">
        <v>338</v>
      </c>
      <c r="B8" s="239">
        <v>75426</v>
      </c>
      <c r="C8" s="239">
        <v>6</v>
      </c>
      <c r="D8" s="239">
        <v>23</v>
      </c>
      <c r="E8" s="239">
        <v>0.82499999999999996</v>
      </c>
      <c r="F8" s="239">
        <v>0.85</v>
      </c>
      <c r="G8" s="239">
        <v>90</v>
      </c>
      <c r="H8" s="239">
        <v>70</v>
      </c>
      <c r="I8" s="239">
        <v>125</v>
      </c>
      <c r="J8" s="239">
        <v>10</v>
      </c>
      <c r="K8" s="239">
        <v>9</v>
      </c>
      <c r="L8" s="239">
        <v>3</v>
      </c>
      <c r="N8" s="239">
        <v>5</v>
      </c>
      <c r="O8" s="239">
        <v>0.67</v>
      </c>
      <c r="P8" s="239">
        <v>0.92</v>
      </c>
      <c r="Q8" s="239">
        <v>0.26500000000000001</v>
      </c>
      <c r="R8" s="239">
        <v>1.4</v>
      </c>
      <c r="T8" s="239" t="str">
        <f t="shared" si="1"/>
        <v>Chisel plow - 27 ft.</v>
      </c>
      <c r="U8" s="239" t="str">
        <f t="shared" si="2"/>
        <v>Chisel plow</v>
      </c>
      <c r="V8" s="239" t="str">
        <f t="shared" si="3"/>
        <v>27 ft.</v>
      </c>
      <c r="W8" s="239">
        <f t="shared" si="0"/>
        <v>81344</v>
      </c>
      <c r="X8" s="239">
        <f t="shared" si="0"/>
        <v>6</v>
      </c>
      <c r="Y8" s="239">
        <f t="shared" si="0"/>
        <v>27</v>
      </c>
      <c r="Z8" s="239">
        <f t="shared" si="0"/>
        <v>0.82499999999999996</v>
      </c>
      <c r="AA8" s="239">
        <f t="shared" si="0"/>
        <v>0.85</v>
      </c>
      <c r="AB8" s="239">
        <f t="shared" si="0"/>
        <v>90</v>
      </c>
      <c r="AC8" s="239">
        <f t="shared" si="0"/>
        <v>70</v>
      </c>
      <c r="AD8" s="239">
        <f t="shared" si="0"/>
        <v>125</v>
      </c>
      <c r="AE8" s="239">
        <f t="shared" si="0"/>
        <v>10</v>
      </c>
      <c r="AF8" s="239">
        <f t="shared" si="0"/>
        <v>11</v>
      </c>
      <c r="AG8" s="239">
        <f t="shared" si="0"/>
        <v>3</v>
      </c>
    </row>
    <row r="9" spans="1:33">
      <c r="A9" s="239" t="s">
        <v>339</v>
      </c>
      <c r="B9" s="239">
        <v>81344</v>
      </c>
      <c r="C9" s="239">
        <v>6</v>
      </c>
      <c r="D9" s="239">
        <v>27</v>
      </c>
      <c r="E9" s="239">
        <v>0.82499999999999996</v>
      </c>
      <c r="F9" s="239">
        <v>0.85</v>
      </c>
      <c r="G9" s="239">
        <v>90</v>
      </c>
      <c r="H9" s="239">
        <v>70</v>
      </c>
      <c r="I9" s="239">
        <v>125</v>
      </c>
      <c r="J9" s="239">
        <v>10</v>
      </c>
      <c r="K9" s="239">
        <v>11</v>
      </c>
      <c r="L9" s="239">
        <v>3</v>
      </c>
      <c r="N9" s="239">
        <v>6</v>
      </c>
      <c r="O9" s="239">
        <v>0.67</v>
      </c>
      <c r="P9" s="239">
        <v>0.92</v>
      </c>
      <c r="Q9" s="239">
        <v>0.44</v>
      </c>
      <c r="R9" s="239">
        <v>2</v>
      </c>
      <c r="T9" s="239" t="str">
        <f t="shared" si="1"/>
        <v>Chisel plow - 30 ft.</v>
      </c>
      <c r="U9" s="239" t="str">
        <f t="shared" si="2"/>
        <v>Chisel plow</v>
      </c>
      <c r="V9" s="239" t="str">
        <f t="shared" si="3"/>
        <v>30 ft.</v>
      </c>
      <c r="W9" s="239">
        <f t="shared" si="0"/>
        <v>86858</v>
      </c>
      <c r="X9" s="239">
        <f t="shared" si="0"/>
        <v>6</v>
      </c>
      <c r="Y9" s="239">
        <f t="shared" si="0"/>
        <v>30</v>
      </c>
      <c r="Z9" s="239">
        <f t="shared" si="0"/>
        <v>0.82499999999999996</v>
      </c>
      <c r="AA9" s="239">
        <f t="shared" si="0"/>
        <v>0.85</v>
      </c>
      <c r="AB9" s="239">
        <f t="shared" si="0"/>
        <v>90</v>
      </c>
      <c r="AC9" s="239">
        <f t="shared" si="0"/>
        <v>70</v>
      </c>
      <c r="AD9" s="239">
        <f t="shared" si="0"/>
        <v>125</v>
      </c>
      <c r="AE9" s="239">
        <f t="shared" si="0"/>
        <v>10</v>
      </c>
      <c r="AF9" s="239">
        <f t="shared" si="0"/>
        <v>12</v>
      </c>
      <c r="AG9" s="239">
        <f t="shared" si="0"/>
        <v>3</v>
      </c>
    </row>
    <row r="10" spans="1:33">
      <c r="A10" s="239" t="s">
        <v>340</v>
      </c>
      <c r="B10" s="239">
        <v>86858</v>
      </c>
      <c r="C10" s="239">
        <v>6</v>
      </c>
      <c r="D10" s="239">
        <v>30</v>
      </c>
      <c r="E10" s="239">
        <v>0.82499999999999996</v>
      </c>
      <c r="F10" s="239">
        <v>0.85</v>
      </c>
      <c r="G10" s="239">
        <v>90</v>
      </c>
      <c r="H10" s="239">
        <v>70</v>
      </c>
      <c r="I10" s="239">
        <v>125</v>
      </c>
      <c r="J10" s="239">
        <v>10</v>
      </c>
      <c r="K10" s="239">
        <v>12</v>
      </c>
      <c r="L10" s="239">
        <v>3</v>
      </c>
      <c r="N10" s="239">
        <v>7</v>
      </c>
      <c r="O10" s="239">
        <v>0.67</v>
      </c>
      <c r="P10" s="239">
        <v>0.92</v>
      </c>
      <c r="Q10" s="239">
        <v>0.32</v>
      </c>
      <c r="R10" s="239">
        <v>2.1</v>
      </c>
      <c r="T10" s="239" t="str">
        <f t="shared" si="1"/>
        <v>Chisel plow - 35 ft.</v>
      </c>
      <c r="U10" s="239" t="str">
        <f t="shared" si="2"/>
        <v>Chisel plow</v>
      </c>
      <c r="V10" s="239" t="str">
        <f t="shared" si="3"/>
        <v>35 ft.</v>
      </c>
      <c r="W10" s="239">
        <f t="shared" si="0"/>
        <v>92301</v>
      </c>
      <c r="X10" s="239">
        <f t="shared" si="0"/>
        <v>6</v>
      </c>
      <c r="Y10" s="239">
        <f t="shared" si="0"/>
        <v>35</v>
      </c>
      <c r="Z10" s="239">
        <f t="shared" si="0"/>
        <v>0.82499999999999996</v>
      </c>
      <c r="AA10" s="239">
        <f t="shared" si="0"/>
        <v>0.85</v>
      </c>
      <c r="AB10" s="239">
        <f t="shared" si="0"/>
        <v>90</v>
      </c>
      <c r="AC10" s="239">
        <f t="shared" si="0"/>
        <v>70</v>
      </c>
      <c r="AD10" s="239">
        <f t="shared" si="0"/>
        <v>125</v>
      </c>
      <c r="AE10" s="239">
        <f t="shared" si="0"/>
        <v>10</v>
      </c>
      <c r="AF10" s="239">
        <f t="shared" si="0"/>
        <v>13</v>
      </c>
      <c r="AG10" s="239">
        <f t="shared" si="0"/>
        <v>3</v>
      </c>
    </row>
    <row r="11" spans="1:33">
      <c r="A11" s="239" t="s">
        <v>341</v>
      </c>
      <c r="B11" s="239">
        <v>92301</v>
      </c>
      <c r="C11" s="239">
        <v>6</v>
      </c>
      <c r="D11" s="239">
        <v>35</v>
      </c>
      <c r="E11" s="239">
        <v>0.82499999999999996</v>
      </c>
      <c r="F11" s="239">
        <v>0.85</v>
      </c>
      <c r="G11" s="239">
        <v>90</v>
      </c>
      <c r="H11" s="239">
        <v>70</v>
      </c>
      <c r="I11" s="239">
        <v>125</v>
      </c>
      <c r="J11" s="239">
        <v>10</v>
      </c>
      <c r="K11" s="239">
        <v>13</v>
      </c>
      <c r="L11" s="239">
        <v>3</v>
      </c>
      <c r="N11" s="239">
        <v>8</v>
      </c>
      <c r="O11" s="239">
        <v>0.67</v>
      </c>
      <c r="P11" s="239">
        <v>0.92</v>
      </c>
      <c r="Q11" s="239">
        <v>0.26500000000000001</v>
      </c>
      <c r="R11" s="239">
        <v>1.4</v>
      </c>
      <c r="T11" s="239" t="str">
        <f t="shared" si="1"/>
        <v>Chisel plow - 40 ft.</v>
      </c>
      <c r="U11" s="239" t="str">
        <f t="shared" si="2"/>
        <v>Chisel plow</v>
      </c>
      <c r="V11" s="239" t="str">
        <f t="shared" si="3"/>
        <v>40 ft.</v>
      </c>
      <c r="W11" s="239">
        <f t="shared" si="0"/>
        <v>95294</v>
      </c>
      <c r="X11" s="239">
        <f t="shared" si="0"/>
        <v>6</v>
      </c>
      <c r="Y11" s="239">
        <f t="shared" si="0"/>
        <v>40</v>
      </c>
      <c r="Z11" s="239">
        <f t="shared" si="0"/>
        <v>0.82499999999999996</v>
      </c>
      <c r="AA11" s="239">
        <f t="shared" si="0"/>
        <v>0.85</v>
      </c>
      <c r="AB11" s="239">
        <f t="shared" si="0"/>
        <v>90</v>
      </c>
      <c r="AC11" s="239">
        <f t="shared" si="0"/>
        <v>70</v>
      </c>
      <c r="AD11" s="239">
        <f t="shared" si="0"/>
        <v>125</v>
      </c>
      <c r="AE11" s="239">
        <f t="shared" si="0"/>
        <v>10</v>
      </c>
      <c r="AF11" s="239">
        <f t="shared" si="0"/>
        <v>14</v>
      </c>
      <c r="AG11" s="239">
        <f t="shared" si="0"/>
        <v>3</v>
      </c>
    </row>
    <row r="12" spans="1:33">
      <c r="A12" s="239" t="s">
        <v>342</v>
      </c>
      <c r="B12" s="239">
        <v>95294</v>
      </c>
      <c r="C12" s="239">
        <v>6</v>
      </c>
      <c r="D12" s="239">
        <v>40</v>
      </c>
      <c r="E12" s="239">
        <v>0.82499999999999996</v>
      </c>
      <c r="F12" s="239">
        <v>0.85</v>
      </c>
      <c r="G12" s="239">
        <v>90</v>
      </c>
      <c r="H12" s="239">
        <v>70</v>
      </c>
      <c r="I12" s="239">
        <v>125</v>
      </c>
      <c r="J12" s="239">
        <v>10</v>
      </c>
      <c r="K12" s="239">
        <v>14</v>
      </c>
      <c r="L12" s="239">
        <v>3</v>
      </c>
      <c r="N12" s="239">
        <v>9</v>
      </c>
      <c r="O12" s="239">
        <v>0.6</v>
      </c>
      <c r="P12" s="239">
        <v>0.88500000000000001</v>
      </c>
      <c r="Q12" s="239">
        <v>0.23</v>
      </c>
      <c r="R12" s="239">
        <v>1.4</v>
      </c>
      <c r="T12" s="239" t="str">
        <f t="shared" si="1"/>
        <v>Chisel plow - 44 ft.</v>
      </c>
      <c r="U12" s="239" t="str">
        <f t="shared" si="2"/>
        <v>Chisel plow</v>
      </c>
      <c r="V12" s="239" t="str">
        <f t="shared" si="3"/>
        <v>44 ft.</v>
      </c>
      <c r="W12" s="239">
        <f t="shared" si="0"/>
        <v>131584</v>
      </c>
      <c r="X12" s="239">
        <f t="shared" si="0"/>
        <v>6</v>
      </c>
      <c r="Y12" s="239">
        <f t="shared" si="0"/>
        <v>44</v>
      </c>
      <c r="Z12" s="239">
        <f t="shared" si="0"/>
        <v>0.82499999999999996</v>
      </c>
      <c r="AA12" s="239">
        <f t="shared" si="0"/>
        <v>0.85</v>
      </c>
      <c r="AB12" s="239">
        <f t="shared" si="0"/>
        <v>90</v>
      </c>
      <c r="AC12" s="239">
        <f t="shared" si="0"/>
        <v>70</v>
      </c>
      <c r="AD12" s="239">
        <f t="shared" si="0"/>
        <v>125</v>
      </c>
      <c r="AE12" s="239">
        <f t="shared" si="0"/>
        <v>10</v>
      </c>
      <c r="AF12" s="239">
        <f t="shared" si="0"/>
        <v>15</v>
      </c>
      <c r="AG12" s="239">
        <f t="shared" si="0"/>
        <v>3</v>
      </c>
    </row>
    <row r="13" spans="1:33">
      <c r="A13" s="239" t="s">
        <v>312</v>
      </c>
      <c r="B13" s="239">
        <v>131584</v>
      </c>
      <c r="C13" s="239">
        <v>6</v>
      </c>
      <c r="D13" s="239">
        <v>44</v>
      </c>
      <c r="E13" s="239">
        <v>0.82499999999999996</v>
      </c>
      <c r="F13" s="239">
        <v>0.85</v>
      </c>
      <c r="G13" s="239">
        <v>90</v>
      </c>
      <c r="H13" s="239">
        <v>70</v>
      </c>
      <c r="I13" s="239">
        <v>125</v>
      </c>
      <c r="J13" s="239">
        <v>10</v>
      </c>
      <c r="K13" s="239">
        <v>15</v>
      </c>
      <c r="L13" s="239">
        <v>3</v>
      </c>
      <c r="N13" s="239">
        <v>10</v>
      </c>
      <c r="O13" s="239">
        <v>0.6</v>
      </c>
      <c r="P13" s="239">
        <v>0.88500000000000001</v>
      </c>
      <c r="Q13" s="239">
        <v>0.63</v>
      </c>
      <c r="R13" s="239">
        <v>1.3</v>
      </c>
      <c r="T13" s="239" t="str">
        <f t="shared" si="1"/>
        <v>Chisel plow - 47 ft.</v>
      </c>
      <c r="U13" s="239" t="str">
        <f t="shared" si="2"/>
        <v>Chisel plow</v>
      </c>
      <c r="V13" s="239" t="str">
        <f t="shared" si="3"/>
        <v>47 ft.</v>
      </c>
      <c r="W13" s="239">
        <f t="shared" si="0"/>
        <v>138250</v>
      </c>
      <c r="X13" s="239">
        <f t="shared" si="0"/>
        <v>6</v>
      </c>
      <c r="Y13" s="239">
        <f t="shared" si="0"/>
        <v>47</v>
      </c>
      <c r="Z13" s="239">
        <f t="shared" si="0"/>
        <v>0.82499999999999996</v>
      </c>
      <c r="AA13" s="239">
        <f t="shared" si="0"/>
        <v>0.85</v>
      </c>
      <c r="AB13" s="239">
        <f t="shared" si="0"/>
        <v>90</v>
      </c>
      <c r="AC13" s="239">
        <f t="shared" si="0"/>
        <v>70</v>
      </c>
      <c r="AD13" s="239">
        <f t="shared" si="0"/>
        <v>125</v>
      </c>
      <c r="AE13" s="239">
        <f t="shared" si="0"/>
        <v>10</v>
      </c>
      <c r="AF13" s="239">
        <f t="shared" si="0"/>
        <v>15</v>
      </c>
      <c r="AG13" s="239">
        <f t="shared" si="0"/>
        <v>3</v>
      </c>
    </row>
    <row r="14" spans="1:33">
      <c r="A14" s="239" t="s">
        <v>343</v>
      </c>
      <c r="B14" s="239">
        <v>138250</v>
      </c>
      <c r="C14" s="239">
        <v>6</v>
      </c>
      <c r="D14" s="239">
        <v>47</v>
      </c>
      <c r="E14" s="239">
        <v>0.82499999999999996</v>
      </c>
      <c r="F14" s="239">
        <v>0.85</v>
      </c>
      <c r="G14" s="239">
        <v>90</v>
      </c>
      <c r="H14" s="239">
        <v>70</v>
      </c>
      <c r="I14" s="239">
        <v>125</v>
      </c>
      <c r="J14" s="239">
        <v>10</v>
      </c>
      <c r="K14" s="239">
        <v>15</v>
      </c>
      <c r="L14" s="239">
        <v>3</v>
      </c>
      <c r="N14" s="239">
        <v>11</v>
      </c>
      <c r="O14" s="239">
        <v>0.6</v>
      </c>
      <c r="P14" s="239">
        <v>0.88500000000000001</v>
      </c>
      <c r="Q14" s="239">
        <v>0.63</v>
      </c>
      <c r="R14" s="239">
        <v>1.3</v>
      </c>
      <c r="T14" s="239" t="str">
        <f t="shared" si="1"/>
        <v>Chisel plow - 55 ft.</v>
      </c>
      <c r="U14" s="239" t="str">
        <f t="shared" si="2"/>
        <v>Chisel plow</v>
      </c>
      <c r="V14" s="239" t="str">
        <f t="shared" si="3"/>
        <v>55 ft.</v>
      </c>
      <c r="W14" s="239">
        <f t="shared" si="0"/>
        <v>148898</v>
      </c>
      <c r="X14" s="239">
        <f t="shared" si="0"/>
        <v>6</v>
      </c>
      <c r="Y14" s="239">
        <f t="shared" si="0"/>
        <v>55</v>
      </c>
      <c r="Z14" s="239">
        <f t="shared" si="0"/>
        <v>0.82499999999999996</v>
      </c>
      <c r="AA14" s="239">
        <f t="shared" si="0"/>
        <v>0.85</v>
      </c>
      <c r="AB14" s="239">
        <f t="shared" si="0"/>
        <v>90</v>
      </c>
      <c r="AC14" s="239">
        <f t="shared" si="0"/>
        <v>70</v>
      </c>
      <c r="AD14" s="239">
        <f t="shared" si="0"/>
        <v>125</v>
      </c>
      <c r="AE14" s="239">
        <f t="shared" si="0"/>
        <v>10</v>
      </c>
      <c r="AF14" s="239">
        <f t="shared" si="0"/>
        <v>16</v>
      </c>
      <c r="AG14" s="239">
        <f t="shared" si="0"/>
        <v>3</v>
      </c>
    </row>
    <row r="15" spans="1:33">
      <c r="A15" s="239" t="s">
        <v>344</v>
      </c>
      <c r="B15" s="239">
        <v>148898</v>
      </c>
      <c r="C15" s="239">
        <v>6</v>
      </c>
      <c r="D15" s="239">
        <v>55</v>
      </c>
      <c r="E15" s="239">
        <v>0.82499999999999996</v>
      </c>
      <c r="F15" s="239">
        <v>0.85</v>
      </c>
      <c r="G15" s="239">
        <v>90</v>
      </c>
      <c r="H15" s="239">
        <v>70</v>
      </c>
      <c r="I15" s="239">
        <v>125</v>
      </c>
      <c r="J15" s="239">
        <v>10</v>
      </c>
      <c r="K15" s="239">
        <v>16</v>
      </c>
      <c r="L15" s="239">
        <v>3</v>
      </c>
      <c r="N15" s="239">
        <v>12</v>
      </c>
      <c r="O15" s="239">
        <v>0.6</v>
      </c>
      <c r="P15" s="239">
        <v>0.88500000000000001</v>
      </c>
      <c r="Q15" s="239">
        <v>0.41</v>
      </c>
      <c r="R15" s="239">
        <v>1.3</v>
      </c>
      <c r="T15" s="239" t="str">
        <f t="shared" si="1"/>
        <v>Chisel plow - 61 ft.</v>
      </c>
      <c r="U15" s="239" t="str">
        <f t="shared" si="2"/>
        <v>Chisel plow</v>
      </c>
      <c r="V15" s="239" t="str">
        <f t="shared" si="3"/>
        <v>61 ft.</v>
      </c>
      <c r="W15" s="239">
        <f t="shared" si="0"/>
        <v>161427</v>
      </c>
      <c r="X15" s="239">
        <f t="shared" si="0"/>
        <v>6</v>
      </c>
      <c r="Y15" s="239">
        <f t="shared" si="0"/>
        <v>61</v>
      </c>
      <c r="Z15" s="239">
        <f t="shared" si="0"/>
        <v>0.82499999999999996</v>
      </c>
      <c r="AA15" s="239">
        <f t="shared" si="0"/>
        <v>0.85</v>
      </c>
      <c r="AB15" s="239">
        <f t="shared" si="0"/>
        <v>90</v>
      </c>
      <c r="AC15" s="239">
        <f t="shared" si="0"/>
        <v>70</v>
      </c>
      <c r="AD15" s="239">
        <f t="shared" si="0"/>
        <v>125</v>
      </c>
      <c r="AE15" s="239">
        <f t="shared" si="0"/>
        <v>10</v>
      </c>
      <c r="AF15" s="239">
        <f t="shared" si="0"/>
        <v>17</v>
      </c>
      <c r="AG15" s="239">
        <f t="shared" si="0"/>
        <v>3</v>
      </c>
    </row>
    <row r="16" spans="1:33">
      <c r="A16" s="239" t="s">
        <v>345</v>
      </c>
      <c r="B16" s="239">
        <v>161427</v>
      </c>
      <c r="C16" s="239">
        <v>6</v>
      </c>
      <c r="D16" s="239">
        <v>61</v>
      </c>
      <c r="E16" s="239">
        <v>0.82499999999999996</v>
      </c>
      <c r="F16" s="239">
        <v>0.85</v>
      </c>
      <c r="G16" s="239">
        <v>90</v>
      </c>
      <c r="H16" s="239">
        <v>70</v>
      </c>
      <c r="I16" s="239">
        <v>125</v>
      </c>
      <c r="J16" s="239">
        <v>10</v>
      </c>
      <c r="K16" s="239">
        <v>17</v>
      </c>
      <c r="L16" s="239">
        <v>3</v>
      </c>
      <c r="N16" s="239">
        <v>13</v>
      </c>
      <c r="O16" s="239">
        <v>0.67</v>
      </c>
      <c r="P16" s="239">
        <v>0.92</v>
      </c>
      <c r="Q16" s="239">
        <v>0.32</v>
      </c>
      <c r="R16" s="239">
        <v>2.1</v>
      </c>
      <c r="T16" s="239" t="str">
        <f t="shared" si="1"/>
        <v>Disk Ripper (disk, chisel, rolling basket) - 12 ft</v>
      </c>
      <c r="U16" s="239" t="str">
        <f>$A$17</f>
        <v>Disk Ripper (disk, chisel, rolling basket)</v>
      </c>
      <c r="V16" s="239" t="str">
        <f>A18</f>
        <v>12 ft</v>
      </c>
      <c r="W16" s="239">
        <f t="shared" ref="W16:AG19" si="4">B18</f>
        <v>66657</v>
      </c>
      <c r="X16" s="239">
        <f t="shared" si="4"/>
        <v>6</v>
      </c>
      <c r="Y16" s="239">
        <f t="shared" si="4"/>
        <v>12</v>
      </c>
      <c r="Z16" s="239">
        <f t="shared" si="4"/>
        <v>0.82499999999999996</v>
      </c>
      <c r="AA16" s="239">
        <f t="shared" si="4"/>
        <v>0.85</v>
      </c>
      <c r="AB16" s="239">
        <f t="shared" si="4"/>
        <v>90</v>
      </c>
      <c r="AC16" s="239">
        <f t="shared" si="4"/>
        <v>70</v>
      </c>
      <c r="AD16" s="239">
        <f t="shared" si="4"/>
        <v>125</v>
      </c>
      <c r="AE16" s="239">
        <f t="shared" si="4"/>
        <v>10</v>
      </c>
      <c r="AF16" s="239">
        <f t="shared" si="4"/>
        <v>8</v>
      </c>
      <c r="AG16" s="239">
        <f t="shared" si="4"/>
        <v>14</v>
      </c>
    </row>
    <row r="17" spans="1:33">
      <c r="A17" s="239" t="s">
        <v>318</v>
      </c>
      <c r="N17" s="239">
        <v>14</v>
      </c>
      <c r="O17" s="239">
        <v>0.67</v>
      </c>
      <c r="P17" s="239">
        <v>0.92</v>
      </c>
      <c r="Q17" s="239">
        <v>0.26500000000000001</v>
      </c>
      <c r="R17" s="239">
        <v>1.4</v>
      </c>
      <c r="T17" s="239" t="str">
        <f t="shared" si="1"/>
        <v>Disk Ripper (disk, chisel, rolling basket) - 17 Ft</v>
      </c>
      <c r="U17" s="239" t="str">
        <f>$A$17</f>
        <v>Disk Ripper (disk, chisel, rolling basket)</v>
      </c>
      <c r="V17" s="239" t="str">
        <f>A19</f>
        <v>17 Ft</v>
      </c>
      <c r="W17" s="239">
        <f t="shared" si="4"/>
        <v>84998</v>
      </c>
      <c r="X17" s="239">
        <f t="shared" si="4"/>
        <v>6</v>
      </c>
      <c r="Y17" s="239">
        <f t="shared" si="4"/>
        <v>17</v>
      </c>
      <c r="Z17" s="239">
        <f t="shared" si="4"/>
        <v>0.82499999999999996</v>
      </c>
      <c r="AA17" s="239">
        <f t="shared" si="4"/>
        <v>0.85</v>
      </c>
      <c r="AB17" s="239">
        <f t="shared" si="4"/>
        <v>90</v>
      </c>
      <c r="AC17" s="239">
        <f t="shared" si="4"/>
        <v>70</v>
      </c>
      <c r="AD17" s="239">
        <f t="shared" si="4"/>
        <v>125</v>
      </c>
      <c r="AE17" s="239">
        <f t="shared" si="4"/>
        <v>10</v>
      </c>
      <c r="AF17" s="239">
        <f t="shared" si="4"/>
        <v>13</v>
      </c>
      <c r="AG17" s="239">
        <f t="shared" si="4"/>
        <v>14</v>
      </c>
    </row>
    <row r="18" spans="1:33">
      <c r="A18" s="239" t="s">
        <v>336</v>
      </c>
      <c r="B18" s="239">
        <v>66657</v>
      </c>
      <c r="C18" s="239">
        <v>6</v>
      </c>
      <c r="D18" s="239">
        <v>12</v>
      </c>
      <c r="E18" s="239">
        <v>0.82499999999999996</v>
      </c>
      <c r="F18" s="239">
        <v>0.85</v>
      </c>
      <c r="G18" s="239">
        <v>90</v>
      </c>
      <c r="H18" s="239">
        <v>70</v>
      </c>
      <c r="I18" s="239">
        <v>125</v>
      </c>
      <c r="J18" s="239">
        <v>10</v>
      </c>
      <c r="K18" s="239">
        <v>8</v>
      </c>
      <c r="L18" s="239">
        <v>14</v>
      </c>
      <c r="T18" s="239" t="str">
        <f t="shared" si="1"/>
        <v>Disk Ripper (disk, chisel, rolling basket) - 22 Ft</v>
      </c>
      <c r="U18" s="239" t="str">
        <f>$A$17</f>
        <v>Disk Ripper (disk, chisel, rolling basket)</v>
      </c>
      <c r="V18" s="239" t="str">
        <f>A20</f>
        <v>22 Ft</v>
      </c>
      <c r="W18" s="239">
        <f t="shared" si="4"/>
        <v>133407</v>
      </c>
      <c r="X18" s="239">
        <f t="shared" si="4"/>
        <v>6</v>
      </c>
      <c r="Y18" s="239">
        <f t="shared" si="4"/>
        <v>22</v>
      </c>
      <c r="Z18" s="239">
        <f t="shared" si="4"/>
        <v>0.82499999999999996</v>
      </c>
      <c r="AA18" s="239">
        <f t="shared" si="4"/>
        <v>0.85</v>
      </c>
      <c r="AB18" s="239">
        <f t="shared" si="4"/>
        <v>90</v>
      </c>
      <c r="AC18" s="239">
        <f t="shared" si="4"/>
        <v>70</v>
      </c>
      <c r="AD18" s="239">
        <f t="shared" si="4"/>
        <v>125</v>
      </c>
      <c r="AE18" s="239">
        <f t="shared" si="4"/>
        <v>10</v>
      </c>
      <c r="AF18" s="239">
        <f t="shared" si="4"/>
        <v>14</v>
      </c>
      <c r="AG18" s="239">
        <f t="shared" si="4"/>
        <v>14</v>
      </c>
    </row>
    <row r="19" spans="1:33">
      <c r="A19" s="239" t="s">
        <v>346</v>
      </c>
      <c r="B19" s="239">
        <v>84998</v>
      </c>
      <c r="C19" s="239">
        <v>6</v>
      </c>
      <c r="D19" s="239">
        <v>17</v>
      </c>
      <c r="E19" s="239">
        <v>0.82499999999999996</v>
      </c>
      <c r="F19" s="239">
        <v>0.85</v>
      </c>
      <c r="G19" s="239">
        <v>90</v>
      </c>
      <c r="H19" s="239">
        <v>70</v>
      </c>
      <c r="I19" s="239">
        <v>125</v>
      </c>
      <c r="J19" s="239">
        <v>10</v>
      </c>
      <c r="K19" s="239">
        <v>13</v>
      </c>
      <c r="L19" s="239">
        <v>14</v>
      </c>
      <c r="T19" s="239" t="str">
        <f t="shared" si="1"/>
        <v>Disk Ripper (disk, chisel, rolling basket) - 27 Ft</v>
      </c>
      <c r="U19" s="239" t="str">
        <f>$A$17</f>
        <v>Disk Ripper (disk, chisel, rolling basket)</v>
      </c>
      <c r="V19" s="239" t="str">
        <f>A21</f>
        <v>27 Ft</v>
      </c>
      <c r="W19" s="239">
        <f t="shared" si="4"/>
        <v>154766</v>
      </c>
      <c r="X19" s="239">
        <f t="shared" si="4"/>
        <v>6</v>
      </c>
      <c r="Y19" s="239">
        <f t="shared" si="4"/>
        <v>27</v>
      </c>
      <c r="Z19" s="239">
        <f t="shared" si="4"/>
        <v>0.82499999999999996</v>
      </c>
      <c r="AA19" s="239">
        <f t="shared" si="4"/>
        <v>0.85</v>
      </c>
      <c r="AB19" s="239">
        <f t="shared" si="4"/>
        <v>90</v>
      </c>
      <c r="AC19" s="239">
        <f t="shared" si="4"/>
        <v>70</v>
      </c>
      <c r="AD19" s="239">
        <f t="shared" si="4"/>
        <v>125</v>
      </c>
      <c r="AE19" s="239">
        <f t="shared" si="4"/>
        <v>10</v>
      </c>
      <c r="AF19" s="239">
        <f t="shared" si="4"/>
        <v>16</v>
      </c>
      <c r="AG19" s="239">
        <f t="shared" si="4"/>
        <v>14</v>
      </c>
    </row>
    <row r="20" spans="1:33">
      <c r="A20" s="239" t="s">
        <v>347</v>
      </c>
      <c r="B20" s="239">
        <v>133407</v>
      </c>
      <c r="C20" s="239">
        <v>6</v>
      </c>
      <c r="D20" s="239">
        <v>22</v>
      </c>
      <c r="E20" s="239">
        <v>0.82499999999999996</v>
      </c>
      <c r="F20" s="239">
        <v>0.85</v>
      </c>
      <c r="G20" s="239">
        <v>90</v>
      </c>
      <c r="H20" s="239">
        <v>70</v>
      </c>
      <c r="I20" s="239">
        <v>125</v>
      </c>
      <c r="J20" s="239">
        <v>10</v>
      </c>
      <c r="K20" s="239">
        <v>14</v>
      </c>
      <c r="L20" s="239">
        <v>14</v>
      </c>
      <c r="T20" s="239" t="str">
        <f t="shared" si="1"/>
        <v>Vertical tillage, rolling basket - 21 ft 9 in</v>
      </c>
      <c r="U20" s="239" t="str">
        <f t="shared" ref="U20:U25" si="5">$A$22</f>
        <v>Vertical tillage, rolling basket</v>
      </c>
      <c r="V20" s="239" t="str">
        <f t="shared" ref="V20:V25" si="6">A23</f>
        <v>21 ft 9 in</v>
      </c>
      <c r="W20" s="239">
        <f t="shared" ref="W20:AG20" si="7">B23</f>
        <v>73168</v>
      </c>
      <c r="X20" s="239">
        <f t="shared" si="7"/>
        <v>9</v>
      </c>
      <c r="Y20" s="239">
        <f t="shared" si="7"/>
        <v>21.75</v>
      </c>
      <c r="Z20" s="239">
        <f t="shared" si="7"/>
        <v>0.82499999999999996</v>
      </c>
      <c r="AA20" s="239">
        <f t="shared" si="7"/>
        <v>0.85</v>
      </c>
      <c r="AB20" s="239">
        <f t="shared" si="7"/>
        <v>90</v>
      </c>
      <c r="AC20" s="239">
        <f t="shared" si="7"/>
        <v>70</v>
      </c>
      <c r="AD20" s="239">
        <f t="shared" si="7"/>
        <v>125</v>
      </c>
      <c r="AE20" s="239">
        <f t="shared" si="7"/>
        <v>10</v>
      </c>
      <c r="AF20" s="239">
        <f t="shared" si="7"/>
        <v>8</v>
      </c>
      <c r="AG20" s="239">
        <f t="shared" si="7"/>
        <v>4</v>
      </c>
    </row>
    <row r="21" spans="1:33">
      <c r="A21" s="239" t="s">
        <v>348</v>
      </c>
      <c r="B21" s="239">
        <v>154766</v>
      </c>
      <c r="C21" s="239">
        <v>6</v>
      </c>
      <c r="D21" s="239">
        <v>27</v>
      </c>
      <c r="E21" s="239">
        <v>0.82499999999999996</v>
      </c>
      <c r="F21" s="239">
        <v>0.85</v>
      </c>
      <c r="G21" s="239">
        <v>90</v>
      </c>
      <c r="H21" s="239">
        <v>70</v>
      </c>
      <c r="I21" s="239">
        <v>125</v>
      </c>
      <c r="J21" s="239">
        <v>10</v>
      </c>
      <c r="K21" s="239">
        <v>16</v>
      </c>
      <c r="L21" s="239">
        <v>14</v>
      </c>
      <c r="T21" s="239" t="str">
        <f t="shared" si="1"/>
        <v>Vertical tillage, rolling basket - 25 ft 5 in</v>
      </c>
      <c r="U21" s="239" t="str">
        <f t="shared" si="5"/>
        <v>Vertical tillage, rolling basket</v>
      </c>
      <c r="V21" s="239" t="str">
        <f t="shared" si="6"/>
        <v>25 ft 5 in</v>
      </c>
      <c r="W21" s="239">
        <f t="shared" ref="W21:AG25" si="8">B24</f>
        <v>137193</v>
      </c>
      <c r="X21" s="239">
        <f t="shared" si="8"/>
        <v>9</v>
      </c>
      <c r="Y21" s="239">
        <f t="shared" si="8"/>
        <v>25.42</v>
      </c>
      <c r="Z21" s="239">
        <f t="shared" si="8"/>
        <v>0.82499999999999996</v>
      </c>
      <c r="AA21" s="239">
        <f t="shared" si="8"/>
        <v>0.85</v>
      </c>
      <c r="AB21" s="239">
        <f t="shared" si="8"/>
        <v>90</v>
      </c>
      <c r="AC21" s="239">
        <f t="shared" si="8"/>
        <v>70</v>
      </c>
      <c r="AD21" s="239">
        <f t="shared" si="8"/>
        <v>125</v>
      </c>
      <c r="AE21" s="239">
        <f t="shared" si="8"/>
        <v>10</v>
      </c>
      <c r="AF21" s="239">
        <f t="shared" si="8"/>
        <v>11</v>
      </c>
      <c r="AG21" s="239">
        <f t="shared" si="8"/>
        <v>4</v>
      </c>
    </row>
    <row r="22" spans="1:33">
      <c r="A22" s="239" t="s">
        <v>319</v>
      </c>
      <c r="T22" s="239" t="str">
        <f t="shared" si="1"/>
        <v>Vertical tillage, rolling basket - 30 ft 3 in</v>
      </c>
      <c r="U22" s="239" t="str">
        <f t="shared" si="5"/>
        <v>Vertical tillage, rolling basket</v>
      </c>
      <c r="V22" s="239" t="str">
        <f t="shared" si="6"/>
        <v>30 ft 3 in</v>
      </c>
      <c r="W22" s="239">
        <f t="shared" si="8"/>
        <v>165132</v>
      </c>
      <c r="X22" s="239">
        <f t="shared" si="8"/>
        <v>9</v>
      </c>
      <c r="Y22" s="239">
        <f t="shared" si="8"/>
        <v>30.25</v>
      </c>
      <c r="Z22" s="239">
        <f t="shared" si="8"/>
        <v>0.82499999999999996</v>
      </c>
      <c r="AA22" s="239">
        <f t="shared" si="8"/>
        <v>0.85</v>
      </c>
      <c r="AB22" s="239">
        <f t="shared" si="8"/>
        <v>90</v>
      </c>
      <c r="AC22" s="239">
        <f t="shared" si="8"/>
        <v>70</v>
      </c>
      <c r="AD22" s="239">
        <f t="shared" si="8"/>
        <v>125</v>
      </c>
      <c r="AE22" s="239">
        <f t="shared" si="8"/>
        <v>10</v>
      </c>
      <c r="AF22" s="239">
        <f t="shared" si="8"/>
        <v>12</v>
      </c>
      <c r="AG22" s="239">
        <f t="shared" si="8"/>
        <v>4</v>
      </c>
    </row>
    <row r="23" spans="1:33">
      <c r="A23" s="239" t="s">
        <v>349</v>
      </c>
      <c r="B23" s="239">
        <v>73168</v>
      </c>
      <c r="C23" s="239">
        <v>9</v>
      </c>
      <c r="D23" s="239">
        <v>21.75</v>
      </c>
      <c r="E23" s="239">
        <v>0.82499999999999996</v>
      </c>
      <c r="F23" s="239">
        <v>0.85</v>
      </c>
      <c r="G23" s="239">
        <v>90</v>
      </c>
      <c r="H23" s="239">
        <v>70</v>
      </c>
      <c r="I23" s="239">
        <v>125</v>
      </c>
      <c r="J23" s="239">
        <v>10</v>
      </c>
      <c r="K23" s="239">
        <v>8</v>
      </c>
      <c r="L23" s="239">
        <v>4</v>
      </c>
      <c r="T23" s="239" t="str">
        <f t="shared" si="1"/>
        <v>Vertical tillage, rolling basket - 33 ft 10 in</v>
      </c>
      <c r="U23" s="239" t="str">
        <f t="shared" si="5"/>
        <v>Vertical tillage, rolling basket</v>
      </c>
      <c r="V23" s="239" t="str">
        <f t="shared" si="6"/>
        <v>33 ft 10 in</v>
      </c>
      <c r="W23" s="239">
        <f t="shared" si="8"/>
        <v>182003</v>
      </c>
      <c r="X23" s="239">
        <f t="shared" si="8"/>
        <v>9</v>
      </c>
      <c r="Y23" s="239">
        <f t="shared" si="8"/>
        <v>33.83</v>
      </c>
      <c r="Z23" s="239">
        <f t="shared" si="8"/>
        <v>0.82499999999999996</v>
      </c>
      <c r="AA23" s="239">
        <f t="shared" si="8"/>
        <v>0.85</v>
      </c>
      <c r="AB23" s="239">
        <f t="shared" si="8"/>
        <v>90</v>
      </c>
      <c r="AC23" s="239">
        <f t="shared" si="8"/>
        <v>70</v>
      </c>
      <c r="AD23" s="239">
        <f t="shared" si="8"/>
        <v>125</v>
      </c>
      <c r="AE23" s="239">
        <f t="shared" si="8"/>
        <v>10</v>
      </c>
      <c r="AF23" s="239">
        <f t="shared" si="8"/>
        <v>14</v>
      </c>
      <c r="AG23" s="239">
        <f t="shared" si="8"/>
        <v>4</v>
      </c>
    </row>
    <row r="24" spans="1:33">
      <c r="A24" s="239" t="s">
        <v>350</v>
      </c>
      <c r="B24" s="239">
        <v>137193</v>
      </c>
      <c r="C24" s="239">
        <v>9</v>
      </c>
      <c r="D24" s="239">
        <v>25.42</v>
      </c>
      <c r="E24" s="239">
        <v>0.82499999999999996</v>
      </c>
      <c r="F24" s="239">
        <v>0.85</v>
      </c>
      <c r="G24" s="239">
        <v>90</v>
      </c>
      <c r="H24" s="239">
        <v>70</v>
      </c>
      <c r="I24" s="239">
        <v>125</v>
      </c>
      <c r="J24" s="239">
        <v>10</v>
      </c>
      <c r="K24" s="239">
        <v>11</v>
      </c>
      <c r="L24" s="239">
        <v>4</v>
      </c>
      <c r="T24" s="239" t="str">
        <f t="shared" si="1"/>
        <v>Vertical tillage, rolling basket - 43 ft 6 in</v>
      </c>
      <c r="U24" s="239" t="str">
        <f t="shared" si="5"/>
        <v>Vertical tillage, rolling basket</v>
      </c>
      <c r="V24" s="239" t="str">
        <f t="shared" si="6"/>
        <v>43 ft 6 in</v>
      </c>
      <c r="W24" s="239">
        <f t="shared" si="8"/>
        <v>240491</v>
      </c>
      <c r="X24" s="239">
        <f t="shared" si="8"/>
        <v>9</v>
      </c>
      <c r="Y24" s="239">
        <f t="shared" si="8"/>
        <v>43.5</v>
      </c>
      <c r="Z24" s="239">
        <f t="shared" si="8"/>
        <v>0.82499999999999996</v>
      </c>
      <c r="AA24" s="239">
        <f t="shared" si="8"/>
        <v>0.85</v>
      </c>
      <c r="AB24" s="239">
        <f t="shared" si="8"/>
        <v>90</v>
      </c>
      <c r="AC24" s="239">
        <f t="shared" si="8"/>
        <v>70</v>
      </c>
      <c r="AD24" s="239">
        <f t="shared" si="8"/>
        <v>125</v>
      </c>
      <c r="AE24" s="239">
        <f t="shared" si="8"/>
        <v>10</v>
      </c>
      <c r="AF24" s="239">
        <f t="shared" si="8"/>
        <v>15</v>
      </c>
      <c r="AG24" s="239">
        <f t="shared" si="8"/>
        <v>4</v>
      </c>
    </row>
    <row r="25" spans="1:33">
      <c r="A25" s="239" t="s">
        <v>351</v>
      </c>
      <c r="B25" s="239">
        <v>165132</v>
      </c>
      <c r="C25" s="239">
        <v>9</v>
      </c>
      <c r="D25" s="239">
        <v>30.25</v>
      </c>
      <c r="E25" s="239">
        <v>0.82499999999999996</v>
      </c>
      <c r="F25" s="239">
        <v>0.85</v>
      </c>
      <c r="G25" s="239">
        <v>90</v>
      </c>
      <c r="H25" s="239">
        <v>70</v>
      </c>
      <c r="I25" s="239">
        <v>125</v>
      </c>
      <c r="J25" s="239">
        <v>10</v>
      </c>
      <c r="K25" s="239">
        <v>12</v>
      </c>
      <c r="L25" s="239">
        <v>4</v>
      </c>
      <c r="T25" s="239" t="str">
        <f t="shared" si="1"/>
        <v>Vertical tillage, rolling basket - 49 ft 6 in</v>
      </c>
      <c r="U25" s="239" t="str">
        <f t="shared" si="5"/>
        <v>Vertical tillage, rolling basket</v>
      </c>
      <c r="V25" s="239" t="str">
        <f t="shared" si="6"/>
        <v>49 ft 6 in</v>
      </c>
      <c r="W25" s="239">
        <f t="shared" si="8"/>
        <v>277732</v>
      </c>
      <c r="X25" s="239">
        <f t="shared" si="8"/>
        <v>9</v>
      </c>
      <c r="Y25" s="239">
        <f t="shared" si="8"/>
        <v>49.5</v>
      </c>
      <c r="Z25" s="239">
        <f t="shared" si="8"/>
        <v>0.82499999999999996</v>
      </c>
      <c r="AA25" s="239">
        <f t="shared" si="8"/>
        <v>0.85</v>
      </c>
      <c r="AB25" s="239">
        <f t="shared" si="8"/>
        <v>90</v>
      </c>
      <c r="AC25" s="239">
        <f t="shared" si="8"/>
        <v>70</v>
      </c>
      <c r="AD25" s="239">
        <f t="shared" si="8"/>
        <v>125</v>
      </c>
      <c r="AE25" s="239">
        <f t="shared" si="8"/>
        <v>10</v>
      </c>
      <c r="AF25" s="239">
        <f t="shared" si="8"/>
        <v>17</v>
      </c>
      <c r="AG25" s="239">
        <f t="shared" si="8"/>
        <v>4</v>
      </c>
    </row>
    <row r="26" spans="1:33">
      <c r="A26" s="239" t="s">
        <v>352</v>
      </c>
      <c r="B26" s="239">
        <v>182003</v>
      </c>
      <c r="C26" s="239">
        <v>9</v>
      </c>
      <c r="D26" s="239">
        <v>33.83</v>
      </c>
      <c r="E26" s="239">
        <v>0.82499999999999996</v>
      </c>
      <c r="F26" s="239">
        <v>0.85</v>
      </c>
      <c r="G26" s="239">
        <v>90</v>
      </c>
      <c r="H26" s="239">
        <v>70</v>
      </c>
      <c r="I26" s="239">
        <v>125</v>
      </c>
      <c r="J26" s="239">
        <v>10</v>
      </c>
      <c r="K26" s="239">
        <v>14</v>
      </c>
      <c r="L26" s="239">
        <v>4</v>
      </c>
      <c r="T26" s="239" t="str">
        <f t="shared" si="1"/>
        <v>Moldboard plow - 6 bottom</v>
      </c>
      <c r="U26" s="239" t="str">
        <f>$A$29</f>
        <v>Moldboard plow</v>
      </c>
      <c r="V26" s="239" t="str">
        <f>A30</f>
        <v>6 bottom</v>
      </c>
      <c r="W26" s="239">
        <f t="shared" ref="W26:AG29" si="9">B30</f>
        <v>62883</v>
      </c>
      <c r="X26" s="239">
        <f t="shared" si="9"/>
        <v>4.5</v>
      </c>
      <c r="Y26" s="239">
        <f t="shared" si="9"/>
        <v>9</v>
      </c>
      <c r="Z26" s="239">
        <f t="shared" si="9"/>
        <v>0.82499999999999996</v>
      </c>
      <c r="AA26" s="239">
        <f t="shared" si="9"/>
        <v>0.85</v>
      </c>
      <c r="AB26" s="239">
        <f t="shared" si="9"/>
        <v>177.75</v>
      </c>
      <c r="AC26" s="239">
        <f t="shared" si="9"/>
        <v>120</v>
      </c>
      <c r="AD26" s="239">
        <f t="shared" si="9"/>
        <v>125</v>
      </c>
      <c r="AE26" s="239">
        <f t="shared" si="9"/>
        <v>10</v>
      </c>
      <c r="AF26" s="239">
        <f t="shared" si="9"/>
        <v>7</v>
      </c>
      <c r="AG26" s="239">
        <f t="shared" si="9"/>
        <v>2</v>
      </c>
    </row>
    <row r="27" spans="1:33">
      <c r="A27" s="239" t="s">
        <v>353</v>
      </c>
      <c r="B27" s="239">
        <v>240491</v>
      </c>
      <c r="C27" s="239">
        <v>9</v>
      </c>
      <c r="D27" s="239">
        <v>43.5</v>
      </c>
      <c r="E27" s="239">
        <v>0.82499999999999996</v>
      </c>
      <c r="F27" s="239">
        <v>0.85</v>
      </c>
      <c r="G27" s="239">
        <v>90</v>
      </c>
      <c r="H27" s="239">
        <v>70</v>
      </c>
      <c r="I27" s="239">
        <v>125</v>
      </c>
      <c r="J27" s="239">
        <v>10</v>
      </c>
      <c r="K27" s="239">
        <v>15</v>
      </c>
      <c r="L27" s="239">
        <v>4</v>
      </c>
      <c r="T27" s="239" t="str">
        <f t="shared" si="1"/>
        <v>Moldboard plow - 7 bottom</v>
      </c>
      <c r="U27" s="239" t="str">
        <f>$A$29</f>
        <v>Moldboard plow</v>
      </c>
      <c r="V27" s="239" t="str">
        <f>A31</f>
        <v>7 bottom</v>
      </c>
      <c r="W27" s="239">
        <f t="shared" si="9"/>
        <v>72191</v>
      </c>
      <c r="X27" s="239">
        <f t="shared" si="9"/>
        <v>4.5</v>
      </c>
      <c r="Y27" s="239">
        <f t="shared" si="9"/>
        <v>10.5</v>
      </c>
      <c r="Z27" s="239">
        <f t="shared" si="9"/>
        <v>0.82499999999999996</v>
      </c>
      <c r="AA27" s="239">
        <f t="shared" si="9"/>
        <v>0.85</v>
      </c>
      <c r="AB27" s="239">
        <f t="shared" si="9"/>
        <v>177.75</v>
      </c>
      <c r="AC27" s="239">
        <f t="shared" si="9"/>
        <v>120</v>
      </c>
      <c r="AD27" s="239">
        <f t="shared" si="9"/>
        <v>125</v>
      </c>
      <c r="AE27" s="239">
        <f t="shared" si="9"/>
        <v>10</v>
      </c>
      <c r="AF27" s="239">
        <f t="shared" si="9"/>
        <v>8</v>
      </c>
      <c r="AG27" s="239">
        <f t="shared" si="9"/>
        <v>2</v>
      </c>
    </row>
    <row r="28" spans="1:33">
      <c r="A28" s="239" t="s">
        <v>354</v>
      </c>
      <c r="B28" s="239">
        <v>277732</v>
      </c>
      <c r="C28" s="239">
        <v>9</v>
      </c>
      <c r="D28" s="239">
        <v>49.5</v>
      </c>
      <c r="E28" s="239">
        <v>0.82499999999999996</v>
      </c>
      <c r="F28" s="239">
        <v>0.85</v>
      </c>
      <c r="G28" s="239">
        <v>90</v>
      </c>
      <c r="H28" s="239">
        <v>70</v>
      </c>
      <c r="I28" s="239">
        <v>125</v>
      </c>
      <c r="J28" s="239">
        <v>10</v>
      </c>
      <c r="K28" s="239">
        <v>17</v>
      </c>
      <c r="L28" s="239">
        <v>4</v>
      </c>
      <c r="T28" s="239" t="str">
        <f t="shared" si="1"/>
        <v xml:space="preserve">Moldboard plow - 9 bottom </v>
      </c>
      <c r="U28" s="239" t="str">
        <f>$A$29</f>
        <v>Moldboard plow</v>
      </c>
      <c r="V28" s="239" t="str">
        <f>A32</f>
        <v xml:space="preserve">9 bottom </v>
      </c>
      <c r="W28" s="239">
        <f t="shared" si="9"/>
        <v>100730</v>
      </c>
      <c r="X28" s="239">
        <f t="shared" si="9"/>
        <v>4.5</v>
      </c>
      <c r="Y28" s="239">
        <f t="shared" si="9"/>
        <v>13.5</v>
      </c>
      <c r="Z28" s="239">
        <f t="shared" si="9"/>
        <v>0.82499999999999996</v>
      </c>
      <c r="AA28" s="239">
        <f t="shared" si="9"/>
        <v>0.85</v>
      </c>
      <c r="AB28" s="239">
        <f t="shared" si="9"/>
        <v>177.75</v>
      </c>
      <c r="AC28" s="239">
        <f t="shared" si="9"/>
        <v>120</v>
      </c>
      <c r="AD28" s="239">
        <f t="shared" si="9"/>
        <v>125</v>
      </c>
      <c r="AE28" s="239">
        <f t="shared" si="9"/>
        <v>10</v>
      </c>
      <c r="AF28" s="239">
        <f t="shared" si="9"/>
        <v>11</v>
      </c>
      <c r="AG28" s="239">
        <f t="shared" si="9"/>
        <v>2</v>
      </c>
    </row>
    <row r="29" spans="1:33">
      <c r="A29" s="239" t="s">
        <v>202</v>
      </c>
      <c r="T29" s="239" t="str">
        <f t="shared" si="1"/>
        <v>Moldboard plow - 10 bottom</v>
      </c>
      <c r="U29" s="239" t="str">
        <f>$A$29</f>
        <v>Moldboard plow</v>
      </c>
      <c r="V29" s="239" t="str">
        <f>A33</f>
        <v>10 bottom</v>
      </c>
      <c r="W29" s="239">
        <f t="shared" si="9"/>
        <v>111688</v>
      </c>
      <c r="X29" s="239">
        <f t="shared" si="9"/>
        <v>4.5</v>
      </c>
      <c r="Y29" s="239">
        <f t="shared" si="9"/>
        <v>15</v>
      </c>
      <c r="Z29" s="239">
        <f t="shared" si="9"/>
        <v>0.82499999999999996</v>
      </c>
      <c r="AA29" s="239">
        <f t="shared" si="9"/>
        <v>0.85</v>
      </c>
      <c r="AB29" s="239">
        <f t="shared" si="9"/>
        <v>177.75</v>
      </c>
      <c r="AC29" s="239">
        <f t="shared" si="9"/>
        <v>120</v>
      </c>
      <c r="AD29" s="239">
        <f t="shared" si="9"/>
        <v>125</v>
      </c>
      <c r="AE29" s="239">
        <f t="shared" si="9"/>
        <v>10</v>
      </c>
      <c r="AF29" s="239">
        <f t="shared" si="9"/>
        <v>12</v>
      </c>
      <c r="AG29" s="239">
        <f t="shared" si="9"/>
        <v>2</v>
      </c>
    </row>
    <row r="30" spans="1:33">
      <c r="A30" s="239" t="s">
        <v>203</v>
      </c>
      <c r="B30" s="239">
        <v>62883</v>
      </c>
      <c r="C30" s="239">
        <v>4.5</v>
      </c>
      <c r="D30" s="239">
        <v>9</v>
      </c>
      <c r="E30" s="239">
        <v>0.82499999999999996</v>
      </c>
      <c r="F30" s="239">
        <v>0.85</v>
      </c>
      <c r="G30" s="239">
        <v>177.75</v>
      </c>
      <c r="H30" s="239">
        <v>120</v>
      </c>
      <c r="I30" s="239">
        <v>125</v>
      </c>
      <c r="J30" s="239">
        <v>10</v>
      </c>
      <c r="K30" s="239">
        <v>7</v>
      </c>
      <c r="L30" s="239">
        <v>2</v>
      </c>
      <c r="T30" s="239" t="str">
        <f t="shared" si="1"/>
        <v>Mulch tiller (disk, chisel shanks) - 11 ft. 3 in.</v>
      </c>
      <c r="U30" s="239" t="str">
        <f>$A$34</f>
        <v>Mulch tiller (disk, chisel shanks)</v>
      </c>
      <c r="V30" s="239" t="str">
        <f>A35</f>
        <v>11 ft. 3 in.</v>
      </c>
      <c r="W30" s="239">
        <f t="shared" ref="W30:AG34" si="10">B35</f>
        <v>29754</v>
      </c>
      <c r="X30" s="239">
        <f t="shared" si="10"/>
        <v>5</v>
      </c>
      <c r="Y30" s="239">
        <f t="shared" si="10"/>
        <v>11.25</v>
      </c>
      <c r="Z30" s="239">
        <f t="shared" si="10"/>
        <v>0.82499999999999996</v>
      </c>
      <c r="AA30" s="239">
        <f t="shared" si="10"/>
        <v>0.85</v>
      </c>
      <c r="AB30" s="239">
        <f t="shared" si="10"/>
        <v>90</v>
      </c>
      <c r="AC30" s="239">
        <f t="shared" si="10"/>
        <v>70</v>
      </c>
      <c r="AD30" s="239">
        <f t="shared" si="10"/>
        <v>125</v>
      </c>
      <c r="AE30" s="239">
        <f t="shared" si="10"/>
        <v>10</v>
      </c>
      <c r="AF30" s="239">
        <f t="shared" si="10"/>
        <v>5</v>
      </c>
      <c r="AG30" s="239">
        <f t="shared" si="10"/>
        <v>14</v>
      </c>
    </row>
    <row r="31" spans="1:33">
      <c r="A31" s="239" t="s">
        <v>112</v>
      </c>
      <c r="B31" s="239">
        <v>72191</v>
      </c>
      <c r="C31" s="239">
        <v>4.5</v>
      </c>
      <c r="D31" s="239">
        <v>10.5</v>
      </c>
      <c r="E31" s="239">
        <v>0.82499999999999996</v>
      </c>
      <c r="F31" s="239">
        <v>0.85</v>
      </c>
      <c r="G31" s="239">
        <v>177.75</v>
      </c>
      <c r="H31" s="239">
        <v>120</v>
      </c>
      <c r="I31" s="239">
        <v>125</v>
      </c>
      <c r="J31" s="239">
        <v>10</v>
      </c>
      <c r="K31" s="239">
        <v>8</v>
      </c>
      <c r="L31" s="239">
        <v>2</v>
      </c>
      <c r="T31" s="239" t="str">
        <f t="shared" si="1"/>
        <v>Mulch tiller (disk, chisel shanks) - 13 ft. 9 in.</v>
      </c>
      <c r="U31" s="239" t="str">
        <f>$A$34</f>
        <v>Mulch tiller (disk, chisel shanks)</v>
      </c>
      <c r="V31" s="239" t="str">
        <f>A36</f>
        <v>13 ft. 9 in.</v>
      </c>
      <c r="W31" s="239">
        <f t="shared" si="10"/>
        <v>36869</v>
      </c>
      <c r="X31" s="239">
        <f t="shared" si="10"/>
        <v>5</v>
      </c>
      <c r="Y31" s="239">
        <f t="shared" si="10"/>
        <v>13.75</v>
      </c>
      <c r="Z31" s="239">
        <f t="shared" si="10"/>
        <v>0.82499999999999996</v>
      </c>
      <c r="AA31" s="239">
        <f t="shared" si="10"/>
        <v>0.85</v>
      </c>
      <c r="AB31" s="239">
        <f t="shared" si="10"/>
        <v>90</v>
      </c>
      <c r="AC31" s="239">
        <f t="shared" si="10"/>
        <v>70</v>
      </c>
      <c r="AD31" s="239">
        <f t="shared" si="10"/>
        <v>125</v>
      </c>
      <c r="AE31" s="239">
        <f t="shared" si="10"/>
        <v>10</v>
      </c>
      <c r="AF31" s="239">
        <f t="shared" si="10"/>
        <v>7</v>
      </c>
      <c r="AG31" s="239">
        <f t="shared" si="10"/>
        <v>14</v>
      </c>
    </row>
    <row r="32" spans="1:33">
      <c r="A32" s="239" t="s">
        <v>204</v>
      </c>
      <c r="B32" s="239">
        <v>100730</v>
      </c>
      <c r="C32" s="239">
        <v>4.5</v>
      </c>
      <c r="D32" s="239">
        <v>13.5</v>
      </c>
      <c r="E32" s="239">
        <v>0.82499999999999996</v>
      </c>
      <c r="F32" s="239">
        <v>0.85</v>
      </c>
      <c r="G32" s="239">
        <v>177.75</v>
      </c>
      <c r="H32" s="239">
        <v>120</v>
      </c>
      <c r="I32" s="239">
        <v>125</v>
      </c>
      <c r="J32" s="239">
        <v>10</v>
      </c>
      <c r="K32" s="239">
        <v>11</v>
      </c>
      <c r="L32" s="239">
        <v>2</v>
      </c>
      <c r="T32" s="239" t="str">
        <f t="shared" si="1"/>
        <v>Mulch tiller (disk, chisel shanks) - 16 ft. 3 in.</v>
      </c>
      <c r="U32" s="239" t="str">
        <f>$A$34</f>
        <v>Mulch tiller (disk, chisel shanks)</v>
      </c>
      <c r="V32" s="239" t="str">
        <f>A37</f>
        <v>16 ft. 3 in.</v>
      </c>
      <c r="W32" s="239">
        <f t="shared" si="10"/>
        <v>41496</v>
      </c>
      <c r="X32" s="239">
        <f t="shared" si="10"/>
        <v>5</v>
      </c>
      <c r="Y32" s="239">
        <f t="shared" si="10"/>
        <v>16.25</v>
      </c>
      <c r="Z32" s="239">
        <f t="shared" si="10"/>
        <v>0.82499999999999996</v>
      </c>
      <c r="AA32" s="239">
        <f t="shared" si="10"/>
        <v>0.85</v>
      </c>
      <c r="AB32" s="239">
        <f t="shared" si="10"/>
        <v>90</v>
      </c>
      <c r="AC32" s="239">
        <f t="shared" si="10"/>
        <v>70</v>
      </c>
      <c r="AD32" s="239">
        <f t="shared" si="10"/>
        <v>125</v>
      </c>
      <c r="AE32" s="239">
        <f t="shared" si="10"/>
        <v>10</v>
      </c>
      <c r="AF32" s="239">
        <f t="shared" si="10"/>
        <v>8</v>
      </c>
      <c r="AG32" s="239">
        <f t="shared" si="10"/>
        <v>14</v>
      </c>
    </row>
    <row r="33" spans="1:33">
      <c r="A33" s="239" t="s">
        <v>205</v>
      </c>
      <c r="B33" s="239">
        <v>111688</v>
      </c>
      <c r="C33" s="239">
        <v>4.5</v>
      </c>
      <c r="D33" s="239">
        <v>15</v>
      </c>
      <c r="E33" s="239">
        <v>0.82499999999999996</v>
      </c>
      <c r="F33" s="239">
        <v>0.85</v>
      </c>
      <c r="G33" s="239">
        <v>177.75</v>
      </c>
      <c r="H33" s="239">
        <v>120</v>
      </c>
      <c r="I33" s="239">
        <v>125</v>
      </c>
      <c r="J33" s="239">
        <v>10</v>
      </c>
      <c r="K33" s="239">
        <v>12</v>
      </c>
      <c r="L33" s="239">
        <v>2</v>
      </c>
      <c r="T33" s="239" t="str">
        <f t="shared" si="1"/>
        <v>Mulch tiller (disk, chisel shanks) - 18 ft. 9 in.</v>
      </c>
      <c r="U33" s="239" t="str">
        <f>$A$34</f>
        <v>Mulch tiller (disk, chisel shanks)</v>
      </c>
      <c r="V33" s="239" t="str">
        <f>A38</f>
        <v>18 ft. 9 in.</v>
      </c>
      <c r="W33" s="239">
        <f t="shared" si="10"/>
        <v>62350</v>
      </c>
      <c r="X33" s="239">
        <f t="shared" si="10"/>
        <v>5</v>
      </c>
      <c r="Y33" s="239">
        <f t="shared" si="10"/>
        <v>18.75</v>
      </c>
      <c r="Z33" s="239">
        <f t="shared" si="10"/>
        <v>0.82499999999999996</v>
      </c>
      <c r="AA33" s="239">
        <f t="shared" si="10"/>
        <v>0.85</v>
      </c>
      <c r="AB33" s="239">
        <f t="shared" si="10"/>
        <v>90</v>
      </c>
      <c r="AC33" s="239">
        <f t="shared" si="10"/>
        <v>70</v>
      </c>
      <c r="AD33" s="239">
        <f t="shared" si="10"/>
        <v>125</v>
      </c>
      <c r="AE33" s="239">
        <f t="shared" si="10"/>
        <v>10</v>
      </c>
      <c r="AF33" s="239">
        <f t="shared" si="10"/>
        <v>10</v>
      </c>
      <c r="AG33" s="239">
        <f t="shared" si="10"/>
        <v>14</v>
      </c>
    </row>
    <row r="34" spans="1:33">
      <c r="A34" s="239" t="s">
        <v>286</v>
      </c>
      <c r="T34" s="239" t="str">
        <f t="shared" si="1"/>
        <v>Mulch tiller (disk, chisel shanks) - 21 ft 3 in.</v>
      </c>
      <c r="U34" s="239" t="str">
        <f>$A$34</f>
        <v>Mulch tiller (disk, chisel shanks)</v>
      </c>
      <c r="V34" s="239" t="str">
        <f>A39</f>
        <v>21 ft 3 in.</v>
      </c>
      <c r="W34" s="239">
        <f t="shared" si="10"/>
        <v>65389</v>
      </c>
      <c r="X34" s="239">
        <f t="shared" si="10"/>
        <v>5</v>
      </c>
      <c r="Y34" s="239">
        <f t="shared" si="10"/>
        <v>21.25</v>
      </c>
      <c r="Z34" s="239">
        <f t="shared" si="10"/>
        <v>0.82499999999999996</v>
      </c>
      <c r="AA34" s="239">
        <f t="shared" si="10"/>
        <v>0.85</v>
      </c>
      <c r="AB34" s="239">
        <f t="shared" si="10"/>
        <v>90</v>
      </c>
      <c r="AC34" s="239">
        <f t="shared" si="10"/>
        <v>70</v>
      </c>
      <c r="AD34" s="239">
        <f t="shared" si="10"/>
        <v>125</v>
      </c>
      <c r="AE34" s="239">
        <f t="shared" si="10"/>
        <v>10</v>
      </c>
      <c r="AF34" s="239">
        <f t="shared" si="10"/>
        <v>11</v>
      </c>
      <c r="AG34" s="239">
        <f t="shared" si="10"/>
        <v>14</v>
      </c>
    </row>
    <row r="35" spans="1:33">
      <c r="A35" s="239" t="s">
        <v>355</v>
      </c>
      <c r="B35" s="239">
        <v>29754</v>
      </c>
      <c r="C35" s="239">
        <v>5</v>
      </c>
      <c r="D35" s="239">
        <v>11.25</v>
      </c>
      <c r="E35" s="239">
        <v>0.82499999999999996</v>
      </c>
      <c r="F35" s="239">
        <v>0.85</v>
      </c>
      <c r="G35" s="239">
        <v>90</v>
      </c>
      <c r="H35" s="239">
        <v>70</v>
      </c>
      <c r="I35" s="239">
        <v>125</v>
      </c>
      <c r="J35" s="239">
        <v>10</v>
      </c>
      <c r="K35" s="239">
        <v>5</v>
      </c>
      <c r="L35" s="239">
        <v>14</v>
      </c>
      <c r="T35" s="239" t="str">
        <f t="shared" si="1"/>
        <v xml:space="preserve">Offset disk - 10 ft. </v>
      </c>
      <c r="U35" s="239" t="str">
        <f>$A$40</f>
        <v>Offset disk</v>
      </c>
      <c r="V35" s="239" t="str">
        <f>A41</f>
        <v xml:space="preserve">10 ft. </v>
      </c>
      <c r="W35" s="239">
        <f t="shared" ref="W35:AG37" si="11">B41</f>
        <v>39896</v>
      </c>
      <c r="X35" s="239">
        <f t="shared" si="11"/>
        <v>6</v>
      </c>
      <c r="Y35" s="239">
        <f t="shared" si="11"/>
        <v>10</v>
      </c>
      <c r="Z35" s="239">
        <f t="shared" si="11"/>
        <v>0.82499999999999996</v>
      </c>
      <c r="AA35" s="239">
        <f t="shared" si="11"/>
        <v>0.85</v>
      </c>
      <c r="AB35" s="239">
        <f t="shared" si="11"/>
        <v>90</v>
      </c>
      <c r="AC35" s="239">
        <f t="shared" si="11"/>
        <v>70</v>
      </c>
      <c r="AD35" s="239">
        <f t="shared" si="11"/>
        <v>125</v>
      </c>
      <c r="AE35" s="239">
        <f t="shared" si="11"/>
        <v>10</v>
      </c>
      <c r="AF35" s="239">
        <f t="shared" si="11"/>
        <v>4</v>
      </c>
      <c r="AG35" s="239">
        <f t="shared" si="11"/>
        <v>14</v>
      </c>
    </row>
    <row r="36" spans="1:33">
      <c r="A36" s="239" t="s">
        <v>356</v>
      </c>
      <c r="B36" s="239">
        <v>36869</v>
      </c>
      <c r="C36" s="239">
        <v>5</v>
      </c>
      <c r="D36" s="239">
        <v>13.75</v>
      </c>
      <c r="E36" s="239">
        <v>0.82499999999999996</v>
      </c>
      <c r="F36" s="239">
        <v>0.85</v>
      </c>
      <c r="G36" s="239">
        <v>90</v>
      </c>
      <c r="H36" s="239">
        <v>70</v>
      </c>
      <c r="I36" s="239">
        <v>125</v>
      </c>
      <c r="J36" s="239">
        <v>10</v>
      </c>
      <c r="K36" s="239">
        <v>7</v>
      </c>
      <c r="L36" s="239">
        <v>14</v>
      </c>
      <c r="T36" s="239" t="str">
        <f t="shared" si="1"/>
        <v>Offset disk - 14 ft..</v>
      </c>
      <c r="U36" s="239" t="str">
        <f>$A$40</f>
        <v>Offset disk</v>
      </c>
      <c r="V36" s="239" t="str">
        <f>A42</f>
        <v>14 ft..</v>
      </c>
      <c r="W36" s="239">
        <f t="shared" si="11"/>
        <v>43831</v>
      </c>
      <c r="X36" s="239">
        <f t="shared" si="11"/>
        <v>6</v>
      </c>
      <c r="Y36" s="239">
        <f t="shared" si="11"/>
        <v>14</v>
      </c>
      <c r="Z36" s="239">
        <f t="shared" si="11"/>
        <v>0.82499999999999996</v>
      </c>
      <c r="AA36" s="239">
        <f t="shared" si="11"/>
        <v>0.85</v>
      </c>
      <c r="AB36" s="239">
        <f t="shared" si="11"/>
        <v>90</v>
      </c>
      <c r="AC36" s="239">
        <f t="shared" si="11"/>
        <v>70</v>
      </c>
      <c r="AD36" s="239">
        <f t="shared" si="11"/>
        <v>125</v>
      </c>
      <c r="AE36" s="239">
        <f t="shared" si="11"/>
        <v>10</v>
      </c>
      <c r="AF36" s="239">
        <f t="shared" si="11"/>
        <v>6</v>
      </c>
      <c r="AG36" s="239">
        <f t="shared" si="11"/>
        <v>14</v>
      </c>
    </row>
    <row r="37" spans="1:33">
      <c r="A37" s="239" t="s">
        <v>357</v>
      </c>
      <c r="B37" s="239">
        <v>41496</v>
      </c>
      <c r="C37" s="239">
        <v>5</v>
      </c>
      <c r="D37" s="239">
        <v>16.25</v>
      </c>
      <c r="E37" s="239">
        <v>0.82499999999999996</v>
      </c>
      <c r="F37" s="239">
        <v>0.85</v>
      </c>
      <c r="G37" s="239">
        <v>90</v>
      </c>
      <c r="H37" s="239">
        <v>70</v>
      </c>
      <c r="I37" s="239">
        <v>125</v>
      </c>
      <c r="J37" s="239">
        <v>10</v>
      </c>
      <c r="K37" s="239">
        <v>8</v>
      </c>
      <c r="L37" s="239">
        <v>14</v>
      </c>
      <c r="T37" s="239" t="str">
        <f t="shared" si="1"/>
        <v xml:space="preserve">Offset disk - 16 ft. </v>
      </c>
      <c r="U37" s="239" t="str">
        <f>$A$40</f>
        <v>Offset disk</v>
      </c>
      <c r="V37" s="239" t="str">
        <f>A43</f>
        <v xml:space="preserve">16 ft. </v>
      </c>
      <c r="W37" s="239">
        <f t="shared" si="11"/>
        <v>46374</v>
      </c>
      <c r="X37" s="239">
        <f t="shared" si="11"/>
        <v>6</v>
      </c>
      <c r="Y37" s="239">
        <f t="shared" si="11"/>
        <v>16</v>
      </c>
      <c r="Z37" s="239">
        <f t="shared" si="11"/>
        <v>0.82499999999999996</v>
      </c>
      <c r="AA37" s="239">
        <f t="shared" si="11"/>
        <v>0.85</v>
      </c>
      <c r="AB37" s="239">
        <f t="shared" si="11"/>
        <v>90</v>
      </c>
      <c r="AC37" s="239">
        <f t="shared" si="11"/>
        <v>70</v>
      </c>
      <c r="AD37" s="239">
        <f t="shared" si="11"/>
        <v>125</v>
      </c>
      <c r="AE37" s="239">
        <f t="shared" si="11"/>
        <v>10</v>
      </c>
      <c r="AF37" s="239">
        <f t="shared" si="11"/>
        <v>8</v>
      </c>
      <c r="AG37" s="239">
        <f t="shared" si="11"/>
        <v>14</v>
      </c>
    </row>
    <row r="38" spans="1:33">
      <c r="A38" s="239" t="s">
        <v>358</v>
      </c>
      <c r="B38" s="239">
        <v>62350</v>
      </c>
      <c r="C38" s="239">
        <v>5</v>
      </c>
      <c r="D38" s="239">
        <v>18.75</v>
      </c>
      <c r="E38" s="239">
        <v>0.82499999999999996</v>
      </c>
      <c r="F38" s="239">
        <v>0.85</v>
      </c>
      <c r="G38" s="239">
        <v>90</v>
      </c>
      <c r="H38" s="239">
        <v>70</v>
      </c>
      <c r="I38" s="239">
        <v>125</v>
      </c>
      <c r="J38" s="239">
        <v>10</v>
      </c>
      <c r="K38" s="239">
        <v>10</v>
      </c>
      <c r="L38" s="239">
        <v>14</v>
      </c>
      <c r="T38" s="239" t="str">
        <f t="shared" si="1"/>
        <v>Strip Till - 12-row</v>
      </c>
      <c r="U38" s="239" t="str">
        <f>$A$44</f>
        <v>Strip Till</v>
      </c>
      <c r="V38" s="239" t="str">
        <f>A45</f>
        <v>12-row</v>
      </c>
      <c r="W38" s="239">
        <f t="shared" ref="W38:AG39" si="12">B45</f>
        <v>128840</v>
      </c>
      <c r="X38" s="239">
        <f t="shared" si="12"/>
        <v>6</v>
      </c>
      <c r="Y38" s="239">
        <f t="shared" si="12"/>
        <v>30</v>
      </c>
      <c r="Z38" s="239">
        <f t="shared" si="12"/>
        <v>0.8</v>
      </c>
      <c r="AA38" s="239">
        <f t="shared" si="12"/>
        <v>0.85</v>
      </c>
      <c r="AB38" s="239">
        <f t="shared" si="12"/>
        <v>90</v>
      </c>
      <c r="AC38" s="239">
        <f t="shared" si="12"/>
        <v>70</v>
      </c>
      <c r="AD38" s="239">
        <f t="shared" si="12"/>
        <v>125</v>
      </c>
      <c r="AE38" s="239">
        <f t="shared" si="12"/>
        <v>10</v>
      </c>
      <c r="AF38" s="239">
        <f t="shared" si="12"/>
        <v>12</v>
      </c>
      <c r="AG38" s="239">
        <f t="shared" si="12"/>
        <v>10</v>
      </c>
    </row>
    <row r="39" spans="1:33">
      <c r="A39" s="239" t="s">
        <v>359</v>
      </c>
      <c r="B39" s="239">
        <v>65389</v>
      </c>
      <c r="C39" s="239">
        <v>5</v>
      </c>
      <c r="D39" s="239">
        <v>21.25</v>
      </c>
      <c r="E39" s="239">
        <v>0.82499999999999996</v>
      </c>
      <c r="F39" s="239">
        <v>0.85</v>
      </c>
      <c r="G39" s="239">
        <v>90</v>
      </c>
      <c r="H39" s="239">
        <v>70</v>
      </c>
      <c r="I39" s="239">
        <v>125</v>
      </c>
      <c r="J39" s="239">
        <v>10</v>
      </c>
      <c r="K39" s="239">
        <v>11</v>
      </c>
      <c r="L39" s="239">
        <v>14</v>
      </c>
      <c r="T39" s="239" t="str">
        <f t="shared" si="1"/>
        <v>Strip Till - 16-row</v>
      </c>
      <c r="U39" s="239" t="str">
        <f>$A$44</f>
        <v>Strip Till</v>
      </c>
      <c r="V39" s="239" t="str">
        <f>A46</f>
        <v>16-row</v>
      </c>
      <c r="W39" s="239">
        <f t="shared" si="12"/>
        <v>179456</v>
      </c>
      <c r="X39" s="239">
        <f t="shared" si="12"/>
        <v>6</v>
      </c>
      <c r="Y39" s="239">
        <f t="shared" si="12"/>
        <v>40</v>
      </c>
      <c r="Z39" s="239">
        <f t="shared" si="12"/>
        <v>0.8</v>
      </c>
      <c r="AA39" s="239">
        <f t="shared" si="12"/>
        <v>0.85</v>
      </c>
      <c r="AB39" s="239">
        <f t="shared" si="12"/>
        <v>90</v>
      </c>
      <c r="AC39" s="239">
        <f t="shared" si="12"/>
        <v>70</v>
      </c>
      <c r="AD39" s="239">
        <f t="shared" si="12"/>
        <v>125</v>
      </c>
      <c r="AE39" s="239">
        <f t="shared" si="12"/>
        <v>10</v>
      </c>
      <c r="AF39" s="239">
        <f t="shared" si="12"/>
        <v>15</v>
      </c>
      <c r="AG39" s="239">
        <f t="shared" si="12"/>
        <v>10</v>
      </c>
    </row>
    <row r="40" spans="1:33">
      <c r="A40" s="239" t="s">
        <v>206</v>
      </c>
      <c r="T40" s="239" t="str">
        <f t="shared" si="1"/>
        <v>Minimum till ripper - 7 ft 6 in</v>
      </c>
      <c r="U40" s="239" t="str">
        <f>$A$47</f>
        <v>Minimum till ripper</v>
      </c>
      <c r="V40" s="239" t="str">
        <f t="shared" ref="V40:AG44" si="13">A48</f>
        <v>7 ft 6 in</v>
      </c>
      <c r="W40" s="239">
        <f t="shared" si="13"/>
        <v>17924</v>
      </c>
      <c r="X40" s="239">
        <f t="shared" si="13"/>
        <v>5</v>
      </c>
      <c r="Y40" s="239">
        <f t="shared" si="13"/>
        <v>7.5</v>
      </c>
      <c r="Z40" s="239">
        <f t="shared" si="13"/>
        <v>0.82499999999999996</v>
      </c>
      <c r="AA40" s="239">
        <f t="shared" si="13"/>
        <v>0.85</v>
      </c>
      <c r="AB40" s="239">
        <f t="shared" si="13"/>
        <v>90</v>
      </c>
      <c r="AC40" s="239">
        <f t="shared" si="13"/>
        <v>70</v>
      </c>
      <c r="AD40" s="239">
        <f t="shared" si="13"/>
        <v>125</v>
      </c>
      <c r="AE40" s="239">
        <f t="shared" si="13"/>
        <v>10</v>
      </c>
      <c r="AF40" s="239">
        <f t="shared" si="13"/>
        <v>8</v>
      </c>
      <c r="AG40" s="239">
        <f t="shared" si="13"/>
        <v>14</v>
      </c>
    </row>
    <row r="41" spans="1:33">
      <c r="A41" s="239" t="s">
        <v>360</v>
      </c>
      <c r="B41" s="239">
        <v>39896</v>
      </c>
      <c r="C41" s="239">
        <v>6</v>
      </c>
      <c r="D41" s="239">
        <v>10</v>
      </c>
      <c r="E41" s="239">
        <v>0.82499999999999996</v>
      </c>
      <c r="F41" s="239">
        <v>0.85</v>
      </c>
      <c r="G41" s="239">
        <v>90</v>
      </c>
      <c r="H41" s="239">
        <v>70</v>
      </c>
      <c r="I41" s="239">
        <v>125</v>
      </c>
      <c r="J41" s="239">
        <v>10</v>
      </c>
      <c r="K41" s="239">
        <v>4</v>
      </c>
      <c r="L41" s="239">
        <v>14</v>
      </c>
      <c r="T41" s="239" t="str">
        <f t="shared" si="1"/>
        <v>Minimum till ripper - 10 ft</v>
      </c>
      <c r="U41" s="239" t="str">
        <f>$A$47</f>
        <v>Minimum till ripper</v>
      </c>
      <c r="V41" s="239" t="str">
        <f t="shared" si="13"/>
        <v>10 ft</v>
      </c>
      <c r="W41" s="239">
        <f t="shared" si="13"/>
        <v>18980</v>
      </c>
      <c r="X41" s="239">
        <f t="shared" si="13"/>
        <v>5</v>
      </c>
      <c r="Y41" s="239">
        <f t="shared" si="13"/>
        <v>10</v>
      </c>
      <c r="Z41" s="239">
        <f t="shared" si="13"/>
        <v>0.82499999999999996</v>
      </c>
      <c r="AA41" s="239">
        <f t="shared" si="13"/>
        <v>0.85</v>
      </c>
      <c r="AB41" s="239">
        <f t="shared" si="13"/>
        <v>90</v>
      </c>
      <c r="AC41" s="239">
        <f t="shared" si="13"/>
        <v>70</v>
      </c>
      <c r="AD41" s="239">
        <f t="shared" si="13"/>
        <v>125</v>
      </c>
      <c r="AE41" s="239">
        <f t="shared" si="13"/>
        <v>10</v>
      </c>
      <c r="AF41" s="239">
        <f t="shared" si="13"/>
        <v>11</v>
      </c>
      <c r="AG41" s="239">
        <f t="shared" si="13"/>
        <v>14</v>
      </c>
    </row>
    <row r="42" spans="1:33">
      <c r="A42" s="239" t="s">
        <v>361</v>
      </c>
      <c r="B42" s="239">
        <v>43831</v>
      </c>
      <c r="C42" s="239">
        <v>6</v>
      </c>
      <c r="D42" s="239">
        <v>14</v>
      </c>
      <c r="E42" s="239">
        <v>0.82499999999999996</v>
      </c>
      <c r="F42" s="239">
        <v>0.85</v>
      </c>
      <c r="G42" s="239">
        <v>90</v>
      </c>
      <c r="H42" s="239">
        <v>70</v>
      </c>
      <c r="I42" s="239">
        <v>125</v>
      </c>
      <c r="J42" s="239">
        <v>10</v>
      </c>
      <c r="K42" s="239">
        <v>6</v>
      </c>
      <c r="L42" s="239">
        <v>14</v>
      </c>
      <c r="T42" s="239" t="str">
        <f t="shared" si="1"/>
        <v>Minimum till ripper - 12 ft 6 in</v>
      </c>
      <c r="U42" s="239" t="str">
        <f>$A$47</f>
        <v>Minimum till ripper</v>
      </c>
      <c r="V42" s="239" t="str">
        <f t="shared" si="13"/>
        <v>12 ft 6 in</v>
      </c>
      <c r="W42" s="239">
        <f t="shared" si="13"/>
        <v>20369</v>
      </c>
      <c r="X42" s="239">
        <f t="shared" si="13"/>
        <v>5</v>
      </c>
      <c r="Y42" s="239">
        <f t="shared" si="13"/>
        <v>12.5</v>
      </c>
      <c r="Z42" s="239">
        <f t="shared" si="13"/>
        <v>0.82499999999999996</v>
      </c>
      <c r="AA42" s="239">
        <f t="shared" si="13"/>
        <v>0.85</v>
      </c>
      <c r="AB42" s="239">
        <f t="shared" si="13"/>
        <v>90</v>
      </c>
      <c r="AC42" s="239">
        <f t="shared" si="13"/>
        <v>70</v>
      </c>
      <c r="AD42" s="239">
        <f t="shared" si="13"/>
        <v>125</v>
      </c>
      <c r="AE42" s="239">
        <f t="shared" si="13"/>
        <v>10</v>
      </c>
      <c r="AF42" s="239">
        <f t="shared" si="13"/>
        <v>13</v>
      </c>
      <c r="AG42" s="239">
        <f t="shared" si="13"/>
        <v>14</v>
      </c>
    </row>
    <row r="43" spans="1:33">
      <c r="A43" s="239" t="s">
        <v>362</v>
      </c>
      <c r="B43" s="239">
        <v>46374</v>
      </c>
      <c r="C43" s="239">
        <v>6</v>
      </c>
      <c r="D43" s="239">
        <v>16</v>
      </c>
      <c r="E43" s="239">
        <v>0.82499999999999996</v>
      </c>
      <c r="F43" s="239">
        <v>0.85</v>
      </c>
      <c r="G43" s="239">
        <v>90</v>
      </c>
      <c r="H43" s="239">
        <v>70</v>
      </c>
      <c r="I43" s="239">
        <v>125</v>
      </c>
      <c r="J43" s="239">
        <v>10</v>
      </c>
      <c r="K43" s="239">
        <v>8</v>
      </c>
      <c r="L43" s="239">
        <v>14</v>
      </c>
      <c r="T43" s="239" t="str">
        <f t="shared" si="1"/>
        <v>Minimum till ripper - 17 ft 6 in</v>
      </c>
      <c r="U43" s="239" t="str">
        <f>$A$47</f>
        <v>Minimum till ripper</v>
      </c>
      <c r="V43" s="239" t="str">
        <f t="shared" si="13"/>
        <v>17 ft 6 in</v>
      </c>
      <c r="W43" s="239">
        <f t="shared" si="13"/>
        <v>28304</v>
      </c>
      <c r="X43" s="239">
        <f t="shared" si="13"/>
        <v>5</v>
      </c>
      <c r="Y43" s="239">
        <f t="shared" si="13"/>
        <v>17.5</v>
      </c>
      <c r="Z43" s="239">
        <f t="shared" si="13"/>
        <v>0.82499999999999996</v>
      </c>
      <c r="AA43" s="239">
        <f t="shared" si="13"/>
        <v>0.85</v>
      </c>
      <c r="AB43" s="239">
        <f t="shared" si="13"/>
        <v>90</v>
      </c>
      <c r="AC43" s="239">
        <f t="shared" si="13"/>
        <v>70</v>
      </c>
      <c r="AD43" s="239">
        <f t="shared" si="13"/>
        <v>125</v>
      </c>
      <c r="AE43" s="239">
        <f t="shared" si="13"/>
        <v>10</v>
      </c>
      <c r="AF43" s="239">
        <f t="shared" si="13"/>
        <v>15</v>
      </c>
      <c r="AG43" s="239">
        <f t="shared" si="13"/>
        <v>14</v>
      </c>
    </row>
    <row r="44" spans="1:33">
      <c r="A44" s="239" t="s">
        <v>313</v>
      </c>
      <c r="T44" s="239" t="str">
        <f t="shared" si="1"/>
        <v>Minimum till ripper - 22 ft 6 in</v>
      </c>
      <c r="U44" s="239" t="str">
        <f>$A$47</f>
        <v>Minimum till ripper</v>
      </c>
      <c r="V44" s="239" t="str">
        <f t="shared" si="13"/>
        <v>22 ft 6 in</v>
      </c>
      <c r="W44" s="239">
        <f t="shared" si="13"/>
        <v>37629</v>
      </c>
      <c r="X44" s="239">
        <f t="shared" si="13"/>
        <v>5</v>
      </c>
      <c r="Y44" s="239">
        <f t="shared" si="13"/>
        <v>22.5</v>
      </c>
      <c r="Z44" s="239">
        <f t="shared" si="13"/>
        <v>0.82499999999999996</v>
      </c>
      <c r="AA44" s="239">
        <f t="shared" si="13"/>
        <v>0.85</v>
      </c>
      <c r="AB44" s="239">
        <f t="shared" si="13"/>
        <v>90</v>
      </c>
      <c r="AC44" s="239">
        <f t="shared" si="13"/>
        <v>70</v>
      </c>
      <c r="AD44" s="239">
        <f t="shared" si="13"/>
        <v>125</v>
      </c>
      <c r="AE44" s="239">
        <f t="shared" si="13"/>
        <v>10</v>
      </c>
      <c r="AF44" s="239">
        <f t="shared" si="13"/>
        <v>17</v>
      </c>
      <c r="AG44" s="239">
        <f t="shared" si="13"/>
        <v>14</v>
      </c>
    </row>
    <row r="45" spans="1:33">
      <c r="A45" s="239" t="s">
        <v>114</v>
      </c>
      <c r="B45" s="239">
        <v>128840</v>
      </c>
      <c r="C45" s="239">
        <v>6</v>
      </c>
      <c r="D45" s="239">
        <v>30</v>
      </c>
      <c r="E45" s="239">
        <v>0.8</v>
      </c>
      <c r="F45" s="239">
        <v>0.85</v>
      </c>
      <c r="G45" s="239">
        <v>90</v>
      </c>
      <c r="H45" s="239">
        <v>70</v>
      </c>
      <c r="I45" s="239">
        <v>125</v>
      </c>
      <c r="J45" s="239">
        <v>10</v>
      </c>
      <c r="K45" s="239">
        <v>12</v>
      </c>
      <c r="L45" s="239">
        <v>10</v>
      </c>
      <c r="T45" s="239" t="str">
        <f t="shared" si="1"/>
        <v>Mulch finisher (disk, chisel, and drag) - 24 ft 9"</v>
      </c>
      <c r="U45" s="239" t="str">
        <f t="shared" ref="U45:U52" si="14">$A$53</f>
        <v>Mulch finisher (disk, chisel, and drag)</v>
      </c>
      <c r="V45" s="239" t="str">
        <f t="shared" ref="V45:AG52" si="15">A54</f>
        <v>24 ft 9"</v>
      </c>
      <c r="W45" s="239">
        <f t="shared" si="15"/>
        <v>109581</v>
      </c>
      <c r="X45" s="239">
        <f t="shared" si="15"/>
        <v>6</v>
      </c>
      <c r="Y45" s="239">
        <f t="shared" si="15"/>
        <v>24.75</v>
      </c>
      <c r="Z45" s="239">
        <f t="shared" si="15"/>
        <v>0.82499999999999996</v>
      </c>
      <c r="AA45" s="239">
        <f t="shared" si="15"/>
        <v>0.85</v>
      </c>
      <c r="AB45" s="239">
        <f t="shared" si="15"/>
        <v>90</v>
      </c>
      <c r="AC45" s="239">
        <f t="shared" si="15"/>
        <v>70</v>
      </c>
      <c r="AD45" s="239">
        <f t="shared" si="15"/>
        <v>125</v>
      </c>
      <c r="AE45" s="239">
        <f t="shared" si="15"/>
        <v>10</v>
      </c>
      <c r="AF45" s="239">
        <f t="shared" si="15"/>
        <v>10</v>
      </c>
      <c r="AG45" s="239">
        <f t="shared" si="15"/>
        <v>5</v>
      </c>
    </row>
    <row r="46" spans="1:33">
      <c r="A46" s="239" t="s">
        <v>115</v>
      </c>
      <c r="B46" s="239">
        <v>179456</v>
      </c>
      <c r="C46" s="239">
        <v>6</v>
      </c>
      <c r="D46" s="239">
        <v>40</v>
      </c>
      <c r="E46" s="239">
        <v>0.8</v>
      </c>
      <c r="F46" s="239">
        <v>0.85</v>
      </c>
      <c r="G46" s="239">
        <v>90</v>
      </c>
      <c r="H46" s="239">
        <v>70</v>
      </c>
      <c r="I46" s="239">
        <v>125</v>
      </c>
      <c r="J46" s="239">
        <v>10</v>
      </c>
      <c r="K46" s="239">
        <v>15</v>
      </c>
      <c r="L46" s="239">
        <v>10</v>
      </c>
      <c r="T46" s="239" t="str">
        <f t="shared" si="1"/>
        <v>Mulch finisher (disk, chisel, and drag) - 27 ft 9"</v>
      </c>
      <c r="U46" s="239" t="str">
        <f t="shared" si="14"/>
        <v>Mulch finisher (disk, chisel, and drag)</v>
      </c>
      <c r="V46" s="239" t="str">
        <f t="shared" si="15"/>
        <v>27 ft 9"</v>
      </c>
      <c r="W46" s="239">
        <f t="shared" si="15"/>
        <v>125486</v>
      </c>
      <c r="X46" s="239">
        <f t="shared" si="15"/>
        <v>6</v>
      </c>
      <c r="Y46" s="239">
        <f t="shared" si="15"/>
        <v>27.75</v>
      </c>
      <c r="Z46" s="239">
        <f t="shared" si="15"/>
        <v>0.82499999999999996</v>
      </c>
      <c r="AA46" s="239">
        <f t="shared" si="15"/>
        <v>0.85</v>
      </c>
      <c r="AB46" s="239">
        <f t="shared" si="15"/>
        <v>90</v>
      </c>
      <c r="AC46" s="239">
        <f t="shared" si="15"/>
        <v>70</v>
      </c>
      <c r="AD46" s="239">
        <f t="shared" si="15"/>
        <v>125</v>
      </c>
      <c r="AE46" s="239">
        <f t="shared" si="15"/>
        <v>10</v>
      </c>
      <c r="AF46" s="239">
        <f t="shared" si="15"/>
        <v>11</v>
      </c>
      <c r="AG46" s="239">
        <f t="shared" si="15"/>
        <v>5</v>
      </c>
    </row>
    <row r="47" spans="1:33">
      <c r="A47" s="239" t="s">
        <v>460</v>
      </c>
      <c r="T47" s="239" t="str">
        <f t="shared" si="1"/>
        <v>Mulch finisher (disk, chisel, and drag) - 30 ft 9"</v>
      </c>
      <c r="U47" s="239" t="str">
        <f t="shared" si="14"/>
        <v>Mulch finisher (disk, chisel, and drag)</v>
      </c>
      <c r="V47" s="239" t="str">
        <f t="shared" si="15"/>
        <v>30 ft 9"</v>
      </c>
      <c r="W47" s="239">
        <f t="shared" si="15"/>
        <v>140519</v>
      </c>
      <c r="X47" s="239">
        <f t="shared" si="15"/>
        <v>6</v>
      </c>
      <c r="Y47" s="239">
        <f t="shared" si="15"/>
        <v>30.75</v>
      </c>
      <c r="Z47" s="239">
        <f t="shared" si="15"/>
        <v>0.82499999999999996</v>
      </c>
      <c r="AA47" s="239">
        <f t="shared" si="15"/>
        <v>0.85</v>
      </c>
      <c r="AB47" s="239">
        <f t="shared" si="15"/>
        <v>90</v>
      </c>
      <c r="AC47" s="239">
        <f t="shared" si="15"/>
        <v>70</v>
      </c>
      <c r="AD47" s="239">
        <f t="shared" si="15"/>
        <v>125</v>
      </c>
      <c r="AE47" s="239">
        <f t="shared" si="15"/>
        <v>10</v>
      </c>
      <c r="AF47" s="239">
        <f t="shared" si="15"/>
        <v>12</v>
      </c>
      <c r="AG47" s="239">
        <f t="shared" si="15"/>
        <v>5</v>
      </c>
    </row>
    <row r="48" spans="1:33">
      <c r="A48" s="239" t="s">
        <v>461</v>
      </c>
      <c r="B48" s="239">
        <v>17924</v>
      </c>
      <c r="C48" s="239">
        <v>5</v>
      </c>
      <c r="D48" s="239">
        <v>7.5</v>
      </c>
      <c r="E48" s="239">
        <v>0.82499999999999996</v>
      </c>
      <c r="F48" s="239">
        <v>0.85</v>
      </c>
      <c r="G48" s="239">
        <v>90</v>
      </c>
      <c r="H48" s="239">
        <v>70</v>
      </c>
      <c r="I48" s="239">
        <v>125</v>
      </c>
      <c r="J48" s="239">
        <v>10</v>
      </c>
      <c r="K48" s="239">
        <v>8</v>
      </c>
      <c r="L48" s="239">
        <v>14</v>
      </c>
      <c r="T48" s="239" t="str">
        <f t="shared" si="1"/>
        <v>Mulch finisher (disk, chisel, and drag) - 33 ft 9"</v>
      </c>
      <c r="U48" s="239" t="str">
        <f t="shared" si="14"/>
        <v>Mulch finisher (disk, chisel, and drag)</v>
      </c>
      <c r="V48" s="239" t="str">
        <f t="shared" si="15"/>
        <v>33 ft 9"</v>
      </c>
      <c r="W48" s="239">
        <f t="shared" si="15"/>
        <v>148249</v>
      </c>
      <c r="X48" s="239">
        <f t="shared" si="15"/>
        <v>6</v>
      </c>
      <c r="Y48" s="239">
        <f t="shared" si="15"/>
        <v>33.75</v>
      </c>
      <c r="Z48" s="239">
        <f t="shared" si="15"/>
        <v>0.82499999999999996</v>
      </c>
      <c r="AA48" s="239">
        <f t="shared" si="15"/>
        <v>0.85</v>
      </c>
      <c r="AB48" s="239">
        <f t="shared" si="15"/>
        <v>90</v>
      </c>
      <c r="AC48" s="239">
        <f t="shared" si="15"/>
        <v>70</v>
      </c>
      <c r="AD48" s="239">
        <f t="shared" si="15"/>
        <v>125</v>
      </c>
      <c r="AE48" s="239">
        <f t="shared" si="15"/>
        <v>10</v>
      </c>
      <c r="AF48" s="239">
        <f t="shared" si="15"/>
        <v>12</v>
      </c>
      <c r="AG48" s="239">
        <f t="shared" si="15"/>
        <v>5</v>
      </c>
    </row>
    <row r="49" spans="1:33">
      <c r="A49" s="239" t="s">
        <v>393</v>
      </c>
      <c r="B49" s="239">
        <v>18980</v>
      </c>
      <c r="C49" s="239">
        <v>5</v>
      </c>
      <c r="D49" s="239">
        <v>10</v>
      </c>
      <c r="E49" s="239">
        <v>0.82499999999999996</v>
      </c>
      <c r="F49" s="239">
        <v>0.85</v>
      </c>
      <c r="G49" s="239">
        <v>90</v>
      </c>
      <c r="H49" s="239">
        <v>70</v>
      </c>
      <c r="I49" s="239">
        <v>125</v>
      </c>
      <c r="J49" s="239">
        <v>10</v>
      </c>
      <c r="K49" s="239">
        <v>11</v>
      </c>
      <c r="L49" s="239">
        <v>14</v>
      </c>
      <c r="T49" s="239" t="str">
        <f t="shared" si="1"/>
        <v>Mulch finisher (disk, chisel, and drag) - 38 ft 3"</v>
      </c>
      <c r="U49" s="239" t="str">
        <f t="shared" si="14"/>
        <v>Mulch finisher (disk, chisel, and drag)</v>
      </c>
      <c r="V49" s="239" t="str">
        <f t="shared" si="15"/>
        <v>38 ft 3"</v>
      </c>
      <c r="W49" s="239">
        <f t="shared" si="15"/>
        <v>171221</v>
      </c>
      <c r="X49" s="239">
        <f t="shared" si="15"/>
        <v>6</v>
      </c>
      <c r="Y49" s="239">
        <f t="shared" si="15"/>
        <v>38.25</v>
      </c>
      <c r="Z49" s="239">
        <f t="shared" si="15"/>
        <v>0.82499999999999996</v>
      </c>
      <c r="AA49" s="239">
        <f t="shared" si="15"/>
        <v>0.85</v>
      </c>
      <c r="AB49" s="239">
        <f t="shared" si="15"/>
        <v>90</v>
      </c>
      <c r="AC49" s="239">
        <f t="shared" si="15"/>
        <v>70</v>
      </c>
      <c r="AD49" s="239">
        <f t="shared" si="15"/>
        <v>125</v>
      </c>
      <c r="AE49" s="239">
        <f t="shared" si="15"/>
        <v>10</v>
      </c>
      <c r="AF49" s="239">
        <f t="shared" si="15"/>
        <v>13</v>
      </c>
      <c r="AG49" s="239">
        <f t="shared" si="15"/>
        <v>5</v>
      </c>
    </row>
    <row r="50" spans="1:33">
      <c r="A50" s="239" t="s">
        <v>462</v>
      </c>
      <c r="B50" s="239">
        <v>20369</v>
      </c>
      <c r="C50" s="239">
        <v>5</v>
      </c>
      <c r="D50" s="239">
        <v>12.5</v>
      </c>
      <c r="E50" s="239">
        <v>0.82499999999999996</v>
      </c>
      <c r="F50" s="239">
        <v>0.85</v>
      </c>
      <c r="G50" s="239">
        <v>90</v>
      </c>
      <c r="H50" s="239">
        <v>70</v>
      </c>
      <c r="I50" s="239">
        <v>125</v>
      </c>
      <c r="J50" s="239">
        <v>10</v>
      </c>
      <c r="K50" s="239">
        <v>13</v>
      </c>
      <c r="L50" s="239">
        <v>14</v>
      </c>
      <c r="T50" s="239" t="str">
        <f t="shared" si="1"/>
        <v>Mulch finisher (disk, chisel, and drag) - 44 ft 3"</v>
      </c>
      <c r="U50" s="239" t="str">
        <f t="shared" si="14"/>
        <v>Mulch finisher (disk, chisel, and drag)</v>
      </c>
      <c r="V50" s="239" t="str">
        <f t="shared" si="15"/>
        <v>44 ft 3"</v>
      </c>
      <c r="W50" s="239">
        <f t="shared" si="15"/>
        <v>202286</v>
      </c>
      <c r="X50" s="239">
        <f t="shared" si="15"/>
        <v>6</v>
      </c>
      <c r="Y50" s="239">
        <f t="shared" si="15"/>
        <v>44.25</v>
      </c>
      <c r="Z50" s="239">
        <f t="shared" si="15"/>
        <v>0.82499999999999996</v>
      </c>
      <c r="AA50" s="239">
        <f t="shared" si="15"/>
        <v>0.85</v>
      </c>
      <c r="AB50" s="239">
        <f t="shared" si="15"/>
        <v>90</v>
      </c>
      <c r="AC50" s="239">
        <f t="shared" si="15"/>
        <v>70</v>
      </c>
      <c r="AD50" s="239">
        <f t="shared" si="15"/>
        <v>125</v>
      </c>
      <c r="AE50" s="239">
        <f t="shared" si="15"/>
        <v>10</v>
      </c>
      <c r="AF50" s="239">
        <f t="shared" si="15"/>
        <v>14</v>
      </c>
      <c r="AG50" s="239">
        <f t="shared" si="15"/>
        <v>5</v>
      </c>
    </row>
    <row r="51" spans="1:33">
      <c r="A51" s="239" t="s">
        <v>463</v>
      </c>
      <c r="B51" s="239">
        <v>28304</v>
      </c>
      <c r="C51" s="239">
        <v>5</v>
      </c>
      <c r="D51" s="239">
        <v>17.5</v>
      </c>
      <c r="E51" s="239">
        <v>0.82499999999999996</v>
      </c>
      <c r="F51" s="239">
        <v>0.85</v>
      </c>
      <c r="G51" s="239">
        <v>90</v>
      </c>
      <c r="H51" s="239">
        <v>70</v>
      </c>
      <c r="I51" s="239">
        <v>125</v>
      </c>
      <c r="J51" s="239">
        <v>10</v>
      </c>
      <c r="K51" s="239">
        <v>15</v>
      </c>
      <c r="L51" s="239">
        <v>14</v>
      </c>
      <c r="T51" s="239" t="str">
        <f t="shared" si="1"/>
        <v>Mulch finisher (disk, chisel, and drag) - 50 ft 3"</v>
      </c>
      <c r="U51" s="239" t="str">
        <f t="shared" si="14"/>
        <v>Mulch finisher (disk, chisel, and drag)</v>
      </c>
      <c r="V51" s="239" t="str">
        <f t="shared" si="15"/>
        <v>50 ft 3"</v>
      </c>
      <c r="W51" s="239">
        <f t="shared" si="15"/>
        <v>225755</v>
      </c>
      <c r="X51" s="239">
        <f t="shared" si="15"/>
        <v>6</v>
      </c>
      <c r="Y51" s="239">
        <f t="shared" si="15"/>
        <v>50.25</v>
      </c>
      <c r="Z51" s="239">
        <f t="shared" si="15"/>
        <v>0.82499999999999996</v>
      </c>
      <c r="AA51" s="239">
        <f t="shared" si="15"/>
        <v>0.85</v>
      </c>
      <c r="AB51" s="239">
        <f t="shared" si="15"/>
        <v>90</v>
      </c>
      <c r="AC51" s="239">
        <f t="shared" si="15"/>
        <v>70</v>
      </c>
      <c r="AD51" s="239">
        <f t="shared" si="15"/>
        <v>125</v>
      </c>
      <c r="AE51" s="239">
        <f t="shared" si="15"/>
        <v>10</v>
      </c>
      <c r="AF51" s="239">
        <f t="shared" si="15"/>
        <v>16</v>
      </c>
      <c r="AG51" s="239">
        <f t="shared" si="15"/>
        <v>5</v>
      </c>
    </row>
    <row r="52" spans="1:33">
      <c r="A52" s="239" t="s">
        <v>464</v>
      </c>
      <c r="B52" s="239">
        <v>37629</v>
      </c>
      <c r="C52" s="239">
        <v>5</v>
      </c>
      <c r="D52" s="239">
        <v>22.5</v>
      </c>
      <c r="E52" s="239">
        <v>0.82499999999999996</v>
      </c>
      <c r="F52" s="239">
        <v>0.85</v>
      </c>
      <c r="G52" s="239">
        <v>90</v>
      </c>
      <c r="H52" s="239">
        <v>70</v>
      </c>
      <c r="I52" s="239">
        <v>125</v>
      </c>
      <c r="J52" s="239">
        <v>10</v>
      </c>
      <c r="K52" s="239">
        <v>17</v>
      </c>
      <c r="L52" s="239">
        <v>14</v>
      </c>
      <c r="T52" s="239" t="str">
        <f t="shared" si="1"/>
        <v>Mulch finisher (disk, chisel, and drag) - 56 ft 3"</v>
      </c>
      <c r="U52" s="239" t="str">
        <f t="shared" si="14"/>
        <v>Mulch finisher (disk, chisel, and drag)</v>
      </c>
      <c r="V52" s="239" t="str">
        <f t="shared" si="15"/>
        <v>56 ft 3"</v>
      </c>
      <c r="W52" s="239">
        <f t="shared" si="15"/>
        <v>241244</v>
      </c>
      <c r="X52" s="239">
        <f t="shared" si="15"/>
        <v>6</v>
      </c>
      <c r="Y52" s="239">
        <f t="shared" si="15"/>
        <v>56.25</v>
      </c>
      <c r="Z52" s="239">
        <f t="shared" si="15"/>
        <v>0.82499999999999996</v>
      </c>
      <c r="AA52" s="239">
        <f t="shared" si="15"/>
        <v>0.85</v>
      </c>
      <c r="AB52" s="239">
        <f t="shared" si="15"/>
        <v>90</v>
      </c>
      <c r="AC52" s="239">
        <f t="shared" si="15"/>
        <v>70</v>
      </c>
      <c r="AD52" s="239">
        <f t="shared" si="15"/>
        <v>125</v>
      </c>
      <c r="AE52" s="239">
        <f t="shared" si="15"/>
        <v>10</v>
      </c>
      <c r="AF52" s="239">
        <f t="shared" si="15"/>
        <v>17</v>
      </c>
      <c r="AG52" s="239">
        <f t="shared" si="15"/>
        <v>5</v>
      </c>
    </row>
    <row r="53" spans="1:33">
      <c r="A53" s="239" t="s">
        <v>287</v>
      </c>
      <c r="T53" s="239" t="str">
        <f t="shared" si="1"/>
        <v>Field cultivator - 25 ft. 6 in.</v>
      </c>
      <c r="U53" s="239" t="str">
        <f>$A$62</f>
        <v>Field cultivator</v>
      </c>
      <c r="V53" s="239" t="str">
        <f t="shared" ref="V53:V62" si="16">A63</f>
        <v>25 ft. 6 in.</v>
      </c>
      <c r="W53" s="239">
        <f t="shared" ref="W53:W62" si="17">B63</f>
        <v>59846</v>
      </c>
      <c r="X53" s="239">
        <f t="shared" ref="X53:X62" si="18">C63</f>
        <v>6.5</v>
      </c>
      <c r="Y53" s="239">
        <f t="shared" ref="Y53:Y62" si="19">D63</f>
        <v>25.5</v>
      </c>
      <c r="Z53" s="239">
        <f t="shared" ref="Z53:Z62" si="20">E63</f>
        <v>0.83</v>
      </c>
      <c r="AA53" s="239">
        <f t="shared" ref="AA53:AA62" si="21">F63</f>
        <v>0.85</v>
      </c>
      <c r="AB53" s="239">
        <f t="shared" ref="AB53:AB62" si="22">G63</f>
        <v>118.35</v>
      </c>
      <c r="AC53" s="239">
        <f t="shared" ref="AC53:AC62" si="23">H63</f>
        <v>70</v>
      </c>
      <c r="AD53" s="239">
        <f t="shared" ref="AD53:AD62" si="24">I63</f>
        <v>125</v>
      </c>
      <c r="AE53" s="239">
        <f t="shared" ref="AE53:AE62" si="25">J63</f>
        <v>10</v>
      </c>
      <c r="AF53" s="239">
        <f t="shared" ref="AF53:AF62" si="26">K63</f>
        <v>10</v>
      </c>
      <c r="AG53" s="239">
        <f t="shared" ref="AG53:AG62" si="27">L63</f>
        <v>5</v>
      </c>
    </row>
    <row r="54" spans="1:33">
      <c r="A54" s="239" t="s">
        <v>363</v>
      </c>
      <c r="B54" s="239">
        <v>109581</v>
      </c>
      <c r="C54" s="239">
        <v>6</v>
      </c>
      <c r="D54" s="239">
        <v>24.75</v>
      </c>
      <c r="E54" s="239">
        <v>0.82499999999999996</v>
      </c>
      <c r="F54" s="239">
        <v>0.85</v>
      </c>
      <c r="G54" s="239">
        <v>90</v>
      </c>
      <c r="H54" s="239">
        <v>70</v>
      </c>
      <c r="I54" s="239">
        <v>125</v>
      </c>
      <c r="J54" s="239">
        <v>10</v>
      </c>
      <c r="K54" s="239">
        <v>10</v>
      </c>
      <c r="L54" s="239">
        <v>5</v>
      </c>
      <c r="T54" s="239" t="str">
        <f t="shared" si="1"/>
        <v>Field cultivator - 31 ft. 6 in,</v>
      </c>
      <c r="U54" s="239" t="str">
        <f t="shared" ref="U54:U62" si="28">$A$62</f>
        <v>Field cultivator</v>
      </c>
      <c r="V54" s="239" t="str">
        <f t="shared" si="16"/>
        <v>31 ft. 6 in,</v>
      </c>
      <c r="W54" s="239">
        <f t="shared" si="17"/>
        <v>68381</v>
      </c>
      <c r="X54" s="239">
        <f t="shared" si="18"/>
        <v>6.5</v>
      </c>
      <c r="Y54" s="239">
        <f t="shared" si="19"/>
        <v>31.5</v>
      </c>
      <c r="Z54" s="239">
        <f t="shared" si="20"/>
        <v>0.83</v>
      </c>
      <c r="AA54" s="239">
        <f t="shared" si="21"/>
        <v>0.85</v>
      </c>
      <c r="AB54" s="239">
        <f t="shared" si="22"/>
        <v>118.35</v>
      </c>
      <c r="AC54" s="239">
        <f t="shared" si="23"/>
        <v>70</v>
      </c>
      <c r="AD54" s="239">
        <f t="shared" si="24"/>
        <v>125</v>
      </c>
      <c r="AE54" s="239">
        <f t="shared" si="25"/>
        <v>10</v>
      </c>
      <c r="AF54" s="239">
        <f t="shared" si="26"/>
        <v>10</v>
      </c>
      <c r="AG54" s="239">
        <f t="shared" si="27"/>
        <v>5</v>
      </c>
    </row>
    <row r="55" spans="1:33">
      <c r="A55" s="239" t="s">
        <v>364</v>
      </c>
      <c r="B55" s="239">
        <v>125486</v>
      </c>
      <c r="C55" s="239">
        <v>6</v>
      </c>
      <c r="D55" s="239">
        <v>27.75</v>
      </c>
      <c r="E55" s="239">
        <v>0.82499999999999996</v>
      </c>
      <c r="F55" s="239">
        <v>0.85</v>
      </c>
      <c r="G55" s="239">
        <v>90</v>
      </c>
      <c r="H55" s="239">
        <v>70</v>
      </c>
      <c r="I55" s="239">
        <v>125</v>
      </c>
      <c r="J55" s="239">
        <v>10</v>
      </c>
      <c r="K55" s="239">
        <v>11</v>
      </c>
      <c r="L55" s="239">
        <v>5</v>
      </c>
      <c r="T55" s="239" t="str">
        <f t="shared" si="1"/>
        <v>Field cultivator - 40 ft. 6 in.</v>
      </c>
      <c r="U55" s="239" t="str">
        <f t="shared" si="28"/>
        <v>Field cultivator</v>
      </c>
      <c r="V55" s="239" t="str">
        <f t="shared" si="16"/>
        <v>40 ft. 6 in.</v>
      </c>
      <c r="W55" s="239">
        <f t="shared" si="17"/>
        <v>82834</v>
      </c>
      <c r="X55" s="239">
        <f t="shared" si="18"/>
        <v>6.5</v>
      </c>
      <c r="Y55" s="239">
        <f t="shared" si="19"/>
        <v>40.5</v>
      </c>
      <c r="Z55" s="239">
        <f t="shared" si="20"/>
        <v>0.83</v>
      </c>
      <c r="AA55" s="239">
        <f t="shared" si="21"/>
        <v>0.85</v>
      </c>
      <c r="AB55" s="239">
        <f t="shared" si="22"/>
        <v>118.35</v>
      </c>
      <c r="AC55" s="239">
        <f t="shared" si="23"/>
        <v>70</v>
      </c>
      <c r="AD55" s="239">
        <f t="shared" si="24"/>
        <v>125</v>
      </c>
      <c r="AE55" s="239">
        <f t="shared" si="25"/>
        <v>10</v>
      </c>
      <c r="AF55" s="239">
        <f t="shared" si="26"/>
        <v>12</v>
      </c>
      <c r="AG55" s="239">
        <f t="shared" si="27"/>
        <v>5</v>
      </c>
    </row>
    <row r="56" spans="1:33">
      <c r="A56" s="239" t="s">
        <v>365</v>
      </c>
      <c r="B56" s="239">
        <v>140519</v>
      </c>
      <c r="C56" s="239">
        <v>6</v>
      </c>
      <c r="D56" s="239">
        <v>30.75</v>
      </c>
      <c r="E56" s="239">
        <v>0.82499999999999996</v>
      </c>
      <c r="F56" s="239">
        <v>0.85</v>
      </c>
      <c r="G56" s="239">
        <v>90</v>
      </c>
      <c r="H56" s="239">
        <v>70</v>
      </c>
      <c r="I56" s="239">
        <v>125</v>
      </c>
      <c r="J56" s="239">
        <v>10</v>
      </c>
      <c r="K56" s="239">
        <v>12</v>
      </c>
      <c r="L56" s="239">
        <v>5</v>
      </c>
      <c r="T56" s="239" t="str">
        <f t="shared" si="1"/>
        <v>Field cultivator - 44 ft. 6 in.</v>
      </c>
      <c r="U56" s="239" t="str">
        <f t="shared" si="28"/>
        <v>Field cultivator</v>
      </c>
      <c r="V56" s="239" t="str">
        <f t="shared" si="16"/>
        <v>44 ft. 6 in.</v>
      </c>
      <c r="W56" s="239">
        <f t="shared" si="17"/>
        <v>139268</v>
      </c>
      <c r="X56" s="239">
        <f t="shared" si="18"/>
        <v>6.5</v>
      </c>
      <c r="Y56" s="239">
        <f t="shared" si="19"/>
        <v>44.5</v>
      </c>
      <c r="Z56" s="239">
        <f t="shared" si="20"/>
        <v>0.83</v>
      </c>
      <c r="AA56" s="239">
        <f t="shared" si="21"/>
        <v>0.85</v>
      </c>
      <c r="AB56" s="239">
        <f t="shared" si="22"/>
        <v>118.35</v>
      </c>
      <c r="AC56" s="239">
        <f t="shared" si="23"/>
        <v>70</v>
      </c>
      <c r="AD56" s="239">
        <f t="shared" si="24"/>
        <v>125</v>
      </c>
      <c r="AE56" s="239">
        <f t="shared" si="25"/>
        <v>10</v>
      </c>
      <c r="AF56" s="239">
        <f t="shared" si="26"/>
        <v>13</v>
      </c>
      <c r="AG56" s="239">
        <f t="shared" si="27"/>
        <v>5</v>
      </c>
    </row>
    <row r="57" spans="1:33">
      <c r="A57" s="239" t="s">
        <v>366</v>
      </c>
      <c r="B57" s="239">
        <v>148249</v>
      </c>
      <c r="C57" s="239">
        <v>6</v>
      </c>
      <c r="D57" s="239">
        <v>33.75</v>
      </c>
      <c r="E57" s="239">
        <v>0.82499999999999996</v>
      </c>
      <c r="F57" s="239">
        <v>0.85</v>
      </c>
      <c r="G57" s="239">
        <v>90</v>
      </c>
      <c r="H57" s="239">
        <v>70</v>
      </c>
      <c r="I57" s="239">
        <v>125</v>
      </c>
      <c r="J57" s="239">
        <v>10</v>
      </c>
      <c r="K57" s="239">
        <v>12</v>
      </c>
      <c r="L57" s="239">
        <v>5</v>
      </c>
      <c r="T57" s="239" t="str">
        <f t="shared" si="1"/>
        <v>Field cultivator - 48 ft. 6 in.</v>
      </c>
      <c r="U57" s="239" t="str">
        <f t="shared" si="28"/>
        <v>Field cultivator</v>
      </c>
      <c r="V57" s="239" t="str">
        <f t="shared" si="16"/>
        <v>48 ft. 6 in.</v>
      </c>
      <c r="W57" s="239">
        <f t="shared" si="17"/>
        <v>148061</v>
      </c>
      <c r="X57" s="239">
        <f t="shared" si="18"/>
        <v>6.5</v>
      </c>
      <c r="Y57" s="239">
        <f t="shared" si="19"/>
        <v>48.5</v>
      </c>
      <c r="Z57" s="239">
        <f t="shared" si="20"/>
        <v>0.83</v>
      </c>
      <c r="AA57" s="239">
        <f t="shared" si="21"/>
        <v>0.85</v>
      </c>
      <c r="AB57" s="239">
        <f t="shared" si="22"/>
        <v>118.35</v>
      </c>
      <c r="AC57" s="239">
        <f t="shared" si="23"/>
        <v>70</v>
      </c>
      <c r="AD57" s="239">
        <f t="shared" si="24"/>
        <v>125</v>
      </c>
      <c r="AE57" s="239">
        <f t="shared" si="25"/>
        <v>10</v>
      </c>
      <c r="AF57" s="239">
        <f t="shared" si="26"/>
        <v>13</v>
      </c>
      <c r="AG57" s="239">
        <f t="shared" si="27"/>
        <v>5</v>
      </c>
    </row>
    <row r="58" spans="1:33">
      <c r="A58" s="239" t="s">
        <v>367</v>
      </c>
      <c r="B58" s="239">
        <v>171221</v>
      </c>
      <c r="C58" s="239">
        <v>6</v>
      </c>
      <c r="D58" s="239">
        <v>38.25</v>
      </c>
      <c r="E58" s="239">
        <v>0.82499999999999996</v>
      </c>
      <c r="F58" s="239">
        <v>0.85</v>
      </c>
      <c r="G58" s="239">
        <v>90</v>
      </c>
      <c r="H58" s="239">
        <v>70</v>
      </c>
      <c r="I58" s="239">
        <v>125</v>
      </c>
      <c r="J58" s="239">
        <v>10</v>
      </c>
      <c r="K58" s="239">
        <v>13</v>
      </c>
      <c r="L58" s="239">
        <v>5</v>
      </c>
      <c r="T58" s="239" t="str">
        <f t="shared" si="1"/>
        <v>Field cultivator - 52 ft. 6 in.</v>
      </c>
      <c r="U58" s="239" t="str">
        <f t="shared" si="28"/>
        <v>Field cultivator</v>
      </c>
      <c r="V58" s="239" t="str">
        <f t="shared" si="16"/>
        <v>52 ft. 6 in.</v>
      </c>
      <c r="W58" s="239">
        <f t="shared" si="17"/>
        <v>153418</v>
      </c>
      <c r="X58" s="239">
        <f t="shared" si="18"/>
        <v>6.5</v>
      </c>
      <c r="Y58" s="239">
        <f t="shared" si="19"/>
        <v>52.5</v>
      </c>
      <c r="Z58" s="239">
        <f t="shared" si="20"/>
        <v>0.84</v>
      </c>
      <c r="AA58" s="239">
        <f t="shared" si="21"/>
        <v>0.85</v>
      </c>
      <c r="AB58" s="239">
        <f t="shared" si="22"/>
        <v>118.35</v>
      </c>
      <c r="AC58" s="239">
        <f t="shared" si="23"/>
        <v>70</v>
      </c>
      <c r="AD58" s="239">
        <f t="shared" si="24"/>
        <v>125</v>
      </c>
      <c r="AE58" s="239">
        <f t="shared" si="25"/>
        <v>10</v>
      </c>
      <c r="AF58" s="239">
        <f t="shared" si="26"/>
        <v>14</v>
      </c>
      <c r="AG58" s="239">
        <f t="shared" si="27"/>
        <v>5</v>
      </c>
    </row>
    <row r="59" spans="1:33">
      <c r="A59" s="239" t="s">
        <v>368</v>
      </c>
      <c r="B59" s="239">
        <v>202286</v>
      </c>
      <c r="C59" s="239">
        <v>6</v>
      </c>
      <c r="D59" s="239">
        <v>44.25</v>
      </c>
      <c r="E59" s="239">
        <v>0.82499999999999996</v>
      </c>
      <c r="F59" s="239">
        <v>0.85</v>
      </c>
      <c r="G59" s="239">
        <v>90</v>
      </c>
      <c r="H59" s="239">
        <v>70</v>
      </c>
      <c r="I59" s="239">
        <v>125</v>
      </c>
      <c r="J59" s="239">
        <v>10</v>
      </c>
      <c r="K59" s="239">
        <v>14</v>
      </c>
      <c r="L59" s="239">
        <v>5</v>
      </c>
      <c r="T59" s="239" t="str">
        <f t="shared" si="1"/>
        <v>Field cultivator - 56 ft. 6 in.</v>
      </c>
      <c r="U59" s="239" t="str">
        <f t="shared" si="28"/>
        <v>Field cultivator</v>
      </c>
      <c r="V59" s="239" t="str">
        <f t="shared" si="16"/>
        <v>56 ft. 6 in.</v>
      </c>
      <c r="W59" s="239">
        <f t="shared" si="17"/>
        <v>161372</v>
      </c>
      <c r="X59" s="239">
        <f t="shared" si="18"/>
        <v>6.5</v>
      </c>
      <c r="Y59" s="239">
        <f t="shared" si="19"/>
        <v>56.5</v>
      </c>
      <c r="Z59" s="239">
        <f t="shared" si="20"/>
        <v>0.84</v>
      </c>
      <c r="AA59" s="239">
        <f t="shared" si="21"/>
        <v>0.85</v>
      </c>
      <c r="AB59" s="239">
        <f t="shared" si="22"/>
        <v>118.4</v>
      </c>
      <c r="AC59" s="239">
        <f t="shared" si="23"/>
        <v>70</v>
      </c>
      <c r="AD59" s="239">
        <f t="shared" si="24"/>
        <v>125</v>
      </c>
      <c r="AE59" s="239">
        <f t="shared" si="25"/>
        <v>10</v>
      </c>
      <c r="AF59" s="239">
        <f t="shared" si="26"/>
        <v>14</v>
      </c>
      <c r="AG59" s="239">
        <f t="shared" si="27"/>
        <v>5</v>
      </c>
    </row>
    <row r="60" spans="1:33">
      <c r="A60" s="239" t="s">
        <v>369</v>
      </c>
      <c r="B60" s="239">
        <v>225755</v>
      </c>
      <c r="C60" s="239">
        <v>6</v>
      </c>
      <c r="D60" s="239">
        <v>50.25</v>
      </c>
      <c r="E60" s="239">
        <v>0.82499999999999996</v>
      </c>
      <c r="F60" s="239">
        <v>0.85</v>
      </c>
      <c r="G60" s="239">
        <v>90</v>
      </c>
      <c r="H60" s="239">
        <v>70</v>
      </c>
      <c r="I60" s="239">
        <v>125</v>
      </c>
      <c r="J60" s="239">
        <v>10</v>
      </c>
      <c r="K60" s="239">
        <v>16</v>
      </c>
      <c r="L60" s="239">
        <v>5</v>
      </c>
      <c r="T60" s="239" t="str">
        <f t="shared" si="1"/>
        <v>Field cultivator - 60 ft. 6 in.</v>
      </c>
      <c r="U60" s="239" t="str">
        <f t="shared" si="28"/>
        <v>Field cultivator</v>
      </c>
      <c r="V60" s="239" t="str">
        <f t="shared" si="16"/>
        <v>60 ft. 6 in.</v>
      </c>
      <c r="W60" s="239">
        <f t="shared" si="17"/>
        <v>164043</v>
      </c>
      <c r="X60" s="239">
        <f t="shared" si="18"/>
        <v>6.5</v>
      </c>
      <c r="Y60" s="239">
        <f t="shared" si="19"/>
        <v>60.5</v>
      </c>
      <c r="Z60" s="239">
        <f t="shared" si="20"/>
        <v>0.84</v>
      </c>
      <c r="AA60" s="239">
        <f t="shared" si="21"/>
        <v>0.85</v>
      </c>
      <c r="AB60" s="239">
        <f t="shared" si="22"/>
        <v>118.4</v>
      </c>
      <c r="AC60" s="239">
        <f t="shared" si="23"/>
        <v>70</v>
      </c>
      <c r="AD60" s="239">
        <f t="shared" si="24"/>
        <v>125</v>
      </c>
      <c r="AE60" s="239">
        <f t="shared" si="25"/>
        <v>10</v>
      </c>
      <c r="AF60" s="239">
        <f t="shared" si="26"/>
        <v>15</v>
      </c>
      <c r="AG60" s="239">
        <f t="shared" si="27"/>
        <v>5</v>
      </c>
    </row>
    <row r="61" spans="1:33">
      <c r="A61" s="239" t="s">
        <v>370</v>
      </c>
      <c r="B61" s="239">
        <v>241244</v>
      </c>
      <c r="C61" s="239">
        <v>6</v>
      </c>
      <c r="D61" s="239">
        <v>56.25</v>
      </c>
      <c r="E61" s="239">
        <v>0.82499999999999996</v>
      </c>
      <c r="F61" s="239">
        <v>0.85</v>
      </c>
      <c r="G61" s="239">
        <v>90</v>
      </c>
      <c r="H61" s="239">
        <v>70</v>
      </c>
      <c r="I61" s="239">
        <v>125</v>
      </c>
      <c r="J61" s="239">
        <v>10</v>
      </c>
      <c r="K61" s="239">
        <v>17</v>
      </c>
      <c r="L61" s="239">
        <v>5</v>
      </c>
      <c r="T61" s="239" t="str">
        <f t="shared" si="1"/>
        <v>Field cultivator - 64 ft. 6 in.</v>
      </c>
      <c r="U61" s="239" t="str">
        <f t="shared" si="28"/>
        <v>Field cultivator</v>
      </c>
      <c r="V61" s="239" t="str">
        <f t="shared" si="16"/>
        <v>64 ft. 6 in.</v>
      </c>
      <c r="W61" s="239">
        <f t="shared" si="17"/>
        <v>189574</v>
      </c>
      <c r="X61" s="239">
        <f t="shared" si="18"/>
        <v>6.5</v>
      </c>
      <c r="Y61" s="239">
        <f t="shared" si="19"/>
        <v>64.5</v>
      </c>
      <c r="Z61" s="239">
        <f t="shared" si="20"/>
        <v>0.84</v>
      </c>
      <c r="AA61" s="239">
        <f t="shared" si="21"/>
        <v>0.85</v>
      </c>
      <c r="AB61" s="239">
        <f t="shared" si="22"/>
        <v>118.4</v>
      </c>
      <c r="AC61" s="239">
        <f t="shared" si="23"/>
        <v>70</v>
      </c>
      <c r="AD61" s="239">
        <f t="shared" si="24"/>
        <v>125</v>
      </c>
      <c r="AE61" s="239">
        <f t="shared" si="25"/>
        <v>10</v>
      </c>
      <c r="AF61" s="239">
        <f t="shared" si="26"/>
        <v>16</v>
      </c>
      <c r="AG61" s="239">
        <f t="shared" si="27"/>
        <v>5</v>
      </c>
    </row>
    <row r="62" spans="1:33">
      <c r="A62" s="239" t="s">
        <v>207</v>
      </c>
      <c r="T62" s="239" t="str">
        <f t="shared" si="1"/>
        <v>Field cultivator - 69 ft. 6 in.</v>
      </c>
      <c r="U62" s="239" t="str">
        <f t="shared" si="28"/>
        <v>Field cultivator</v>
      </c>
      <c r="V62" s="239" t="str">
        <f t="shared" si="16"/>
        <v>69 ft. 6 in.</v>
      </c>
      <c r="W62" s="239">
        <f t="shared" si="17"/>
        <v>201072</v>
      </c>
      <c r="X62" s="239">
        <f t="shared" si="18"/>
        <v>6.5</v>
      </c>
      <c r="Y62" s="239">
        <f t="shared" si="19"/>
        <v>69.5</v>
      </c>
      <c r="Z62" s="239">
        <f t="shared" si="20"/>
        <v>0.84</v>
      </c>
      <c r="AA62" s="239">
        <f t="shared" si="21"/>
        <v>0.85</v>
      </c>
      <c r="AB62" s="239">
        <f t="shared" si="22"/>
        <v>118.4</v>
      </c>
      <c r="AC62" s="239">
        <f t="shared" si="23"/>
        <v>70</v>
      </c>
      <c r="AD62" s="239">
        <f t="shared" si="24"/>
        <v>125</v>
      </c>
      <c r="AE62" s="239">
        <f t="shared" si="25"/>
        <v>10</v>
      </c>
      <c r="AF62" s="239">
        <f t="shared" si="26"/>
        <v>17</v>
      </c>
      <c r="AG62" s="239">
        <f t="shared" si="27"/>
        <v>5</v>
      </c>
    </row>
    <row r="63" spans="1:33">
      <c r="A63" s="239" t="s">
        <v>468</v>
      </c>
      <c r="B63" s="239">
        <v>59846</v>
      </c>
      <c r="C63" s="239">
        <v>6.5</v>
      </c>
      <c r="D63" s="239">
        <v>25.5</v>
      </c>
      <c r="E63" s="239">
        <v>0.83</v>
      </c>
      <c r="F63" s="239">
        <v>0.85</v>
      </c>
      <c r="G63" s="239">
        <v>118.35</v>
      </c>
      <c r="H63" s="239">
        <v>70</v>
      </c>
      <c r="I63" s="239">
        <v>125</v>
      </c>
      <c r="J63" s="239">
        <v>10</v>
      </c>
      <c r="K63" s="239">
        <v>10</v>
      </c>
      <c r="L63" s="239">
        <v>5</v>
      </c>
      <c r="T63" s="239" t="str">
        <f t="shared" si="1"/>
        <v>Tandem disk - 23 ft. 7 in.</v>
      </c>
      <c r="U63" s="239" t="str">
        <f t="shared" ref="U63:U68" si="29">$A$73</f>
        <v>Tandem disk</v>
      </c>
      <c r="V63" s="239" t="str">
        <f t="shared" ref="V63:AG68" si="30">A74</f>
        <v>23 ft. 7 in.</v>
      </c>
      <c r="W63" s="239">
        <f t="shared" si="30"/>
        <v>85858</v>
      </c>
      <c r="X63" s="239">
        <f t="shared" si="30"/>
        <v>6</v>
      </c>
      <c r="Y63" s="239">
        <f t="shared" si="30"/>
        <v>23.58</v>
      </c>
      <c r="Z63" s="239">
        <f t="shared" si="30"/>
        <v>0.83</v>
      </c>
      <c r="AA63" s="239">
        <f t="shared" si="30"/>
        <v>0.85</v>
      </c>
      <c r="AB63" s="239">
        <f t="shared" si="30"/>
        <v>108</v>
      </c>
      <c r="AC63" s="239">
        <f t="shared" si="30"/>
        <v>70</v>
      </c>
      <c r="AD63" s="239">
        <f t="shared" si="30"/>
        <v>125</v>
      </c>
      <c r="AE63" s="239">
        <f t="shared" si="30"/>
        <v>10</v>
      </c>
      <c r="AF63" s="239">
        <f t="shared" si="30"/>
        <v>7</v>
      </c>
      <c r="AG63" s="239">
        <f t="shared" si="30"/>
        <v>4</v>
      </c>
    </row>
    <row r="64" spans="1:33">
      <c r="A64" s="239" t="s">
        <v>371</v>
      </c>
      <c r="B64" s="239">
        <v>68381</v>
      </c>
      <c r="C64" s="239">
        <v>6.5</v>
      </c>
      <c r="D64" s="239">
        <v>31.5</v>
      </c>
      <c r="E64" s="239">
        <v>0.83</v>
      </c>
      <c r="F64" s="239">
        <v>0.85</v>
      </c>
      <c r="G64" s="239">
        <v>118.35</v>
      </c>
      <c r="H64" s="239">
        <v>70</v>
      </c>
      <c r="I64" s="239">
        <v>125</v>
      </c>
      <c r="J64" s="239">
        <v>10</v>
      </c>
      <c r="K64" s="239">
        <v>10</v>
      </c>
      <c r="L64" s="239">
        <v>5</v>
      </c>
      <c r="T64" s="239" t="str">
        <f t="shared" si="1"/>
        <v>Tandem disk - 26 ft. 5 in.</v>
      </c>
      <c r="U64" s="239" t="str">
        <f t="shared" si="29"/>
        <v>Tandem disk</v>
      </c>
      <c r="V64" s="239" t="str">
        <f t="shared" si="30"/>
        <v>26 ft. 5 in.</v>
      </c>
      <c r="W64" s="239">
        <f t="shared" si="30"/>
        <v>94971</v>
      </c>
      <c r="X64" s="239">
        <f t="shared" si="30"/>
        <v>6</v>
      </c>
      <c r="Y64" s="239">
        <f t="shared" si="30"/>
        <v>26.42</v>
      </c>
      <c r="Z64" s="239">
        <f t="shared" si="30"/>
        <v>0.83</v>
      </c>
      <c r="AA64" s="239">
        <f t="shared" si="30"/>
        <v>0.85</v>
      </c>
      <c r="AB64" s="239">
        <f t="shared" si="30"/>
        <v>108</v>
      </c>
      <c r="AC64" s="239">
        <f t="shared" si="30"/>
        <v>70</v>
      </c>
      <c r="AD64" s="239">
        <f t="shared" si="30"/>
        <v>125</v>
      </c>
      <c r="AE64" s="239">
        <f t="shared" si="30"/>
        <v>10</v>
      </c>
      <c r="AF64" s="239">
        <f t="shared" si="30"/>
        <v>8</v>
      </c>
      <c r="AG64" s="239">
        <f t="shared" si="30"/>
        <v>4</v>
      </c>
    </row>
    <row r="65" spans="1:33">
      <c r="A65" s="239" t="s">
        <v>372</v>
      </c>
      <c r="B65" s="239">
        <v>82834</v>
      </c>
      <c r="C65" s="239">
        <v>6.5</v>
      </c>
      <c r="D65" s="239">
        <v>40.5</v>
      </c>
      <c r="E65" s="239">
        <v>0.83</v>
      </c>
      <c r="F65" s="239">
        <v>0.85</v>
      </c>
      <c r="G65" s="239">
        <v>118.35</v>
      </c>
      <c r="H65" s="239">
        <v>70</v>
      </c>
      <c r="I65" s="239">
        <v>125</v>
      </c>
      <c r="J65" s="239">
        <v>10</v>
      </c>
      <c r="K65" s="239">
        <v>12</v>
      </c>
      <c r="L65" s="239">
        <v>5</v>
      </c>
      <c r="T65" s="239" t="str">
        <f t="shared" si="1"/>
        <v>Tandem disk - 29 ft. 3 in.</v>
      </c>
      <c r="U65" s="239" t="str">
        <f t="shared" si="29"/>
        <v>Tandem disk</v>
      </c>
      <c r="V65" s="239" t="str">
        <f t="shared" si="30"/>
        <v>29 ft. 3 in.</v>
      </c>
      <c r="W65" s="239">
        <f t="shared" si="30"/>
        <v>101971</v>
      </c>
      <c r="X65" s="239">
        <f t="shared" si="30"/>
        <v>6</v>
      </c>
      <c r="Y65" s="239">
        <f t="shared" si="30"/>
        <v>29.25</v>
      </c>
      <c r="Z65" s="239">
        <f t="shared" si="30"/>
        <v>0.83</v>
      </c>
      <c r="AA65" s="239">
        <f t="shared" si="30"/>
        <v>0.85</v>
      </c>
      <c r="AB65" s="239">
        <f t="shared" si="30"/>
        <v>108</v>
      </c>
      <c r="AC65" s="239">
        <f t="shared" si="30"/>
        <v>70</v>
      </c>
      <c r="AD65" s="239">
        <f t="shared" si="30"/>
        <v>125</v>
      </c>
      <c r="AE65" s="239">
        <f t="shared" si="30"/>
        <v>10</v>
      </c>
      <c r="AF65" s="239">
        <f t="shared" si="30"/>
        <v>9</v>
      </c>
      <c r="AG65" s="239">
        <f t="shared" si="30"/>
        <v>4</v>
      </c>
    </row>
    <row r="66" spans="1:33">
      <c r="A66" s="239" t="s">
        <v>373</v>
      </c>
      <c r="B66" s="239">
        <v>139268</v>
      </c>
      <c r="C66" s="239">
        <v>6.5</v>
      </c>
      <c r="D66" s="239">
        <v>44.5</v>
      </c>
      <c r="E66" s="239">
        <v>0.83</v>
      </c>
      <c r="F66" s="239">
        <v>0.85</v>
      </c>
      <c r="G66" s="239">
        <v>118.35</v>
      </c>
      <c r="H66" s="239">
        <v>70</v>
      </c>
      <c r="I66" s="239">
        <v>125</v>
      </c>
      <c r="J66" s="239">
        <v>10</v>
      </c>
      <c r="K66" s="239">
        <v>13</v>
      </c>
      <c r="L66" s="239">
        <v>5</v>
      </c>
      <c r="T66" s="239" t="str">
        <f t="shared" si="1"/>
        <v>Tandem disk - 33 ft. 7 in.</v>
      </c>
      <c r="U66" s="239" t="str">
        <f t="shared" si="29"/>
        <v>Tandem disk</v>
      </c>
      <c r="V66" s="239" t="str">
        <f t="shared" si="30"/>
        <v>33 ft. 7 in.</v>
      </c>
      <c r="W66" s="239">
        <f t="shared" si="30"/>
        <v>116032</v>
      </c>
      <c r="X66" s="239">
        <f t="shared" si="30"/>
        <v>6</v>
      </c>
      <c r="Y66" s="239">
        <f t="shared" si="30"/>
        <v>33.58</v>
      </c>
      <c r="Z66" s="239">
        <f t="shared" si="30"/>
        <v>0.83</v>
      </c>
      <c r="AA66" s="239">
        <f t="shared" si="30"/>
        <v>0.85</v>
      </c>
      <c r="AB66" s="239">
        <f t="shared" si="30"/>
        <v>108</v>
      </c>
      <c r="AC66" s="239">
        <f t="shared" si="30"/>
        <v>70</v>
      </c>
      <c r="AD66" s="239">
        <f t="shared" si="30"/>
        <v>125</v>
      </c>
      <c r="AE66" s="239">
        <f t="shared" si="30"/>
        <v>10</v>
      </c>
      <c r="AF66" s="239">
        <f t="shared" si="30"/>
        <v>10</v>
      </c>
      <c r="AG66" s="239">
        <f t="shared" si="30"/>
        <v>4</v>
      </c>
    </row>
    <row r="67" spans="1:33">
      <c r="A67" s="239" t="s">
        <v>374</v>
      </c>
      <c r="B67" s="239">
        <v>148061</v>
      </c>
      <c r="C67" s="239">
        <v>6.5</v>
      </c>
      <c r="D67" s="239">
        <v>48.5</v>
      </c>
      <c r="E67" s="239">
        <v>0.83</v>
      </c>
      <c r="F67" s="239">
        <v>0.85</v>
      </c>
      <c r="G67" s="239">
        <v>118.35</v>
      </c>
      <c r="H67" s="239">
        <v>70</v>
      </c>
      <c r="I67" s="239">
        <v>125</v>
      </c>
      <c r="J67" s="239">
        <v>10</v>
      </c>
      <c r="K67" s="239">
        <v>13</v>
      </c>
      <c r="L67" s="239">
        <v>5</v>
      </c>
      <c r="T67" s="239" t="str">
        <f t="shared" ref="T67:T120" si="31">_xlfn.CONCAT(U67," - ",V67)</f>
        <v>Tandem disk - 40 ft. 8 in.</v>
      </c>
      <c r="U67" s="239" t="str">
        <f t="shared" si="29"/>
        <v>Tandem disk</v>
      </c>
      <c r="V67" s="239" t="str">
        <f t="shared" si="30"/>
        <v>40 ft. 8 in.</v>
      </c>
      <c r="W67" s="239">
        <f t="shared" si="30"/>
        <v>153077</v>
      </c>
      <c r="X67" s="239">
        <f t="shared" si="30"/>
        <v>6</v>
      </c>
      <c r="Y67" s="239">
        <f t="shared" si="30"/>
        <v>40.667000000000002</v>
      </c>
      <c r="Z67" s="239">
        <f t="shared" si="30"/>
        <v>0.83</v>
      </c>
      <c r="AA67" s="239">
        <f t="shared" si="30"/>
        <v>0.85</v>
      </c>
      <c r="AB67" s="239">
        <f t="shared" si="30"/>
        <v>108</v>
      </c>
      <c r="AC67" s="239">
        <f t="shared" si="30"/>
        <v>70</v>
      </c>
      <c r="AD67" s="239">
        <f t="shared" si="30"/>
        <v>125</v>
      </c>
      <c r="AE67" s="239">
        <f t="shared" si="30"/>
        <v>10</v>
      </c>
      <c r="AF67" s="239">
        <f t="shared" si="30"/>
        <v>12</v>
      </c>
      <c r="AG67" s="239">
        <f t="shared" si="30"/>
        <v>4</v>
      </c>
    </row>
    <row r="68" spans="1:33">
      <c r="A68" s="239" t="s">
        <v>375</v>
      </c>
      <c r="B68" s="239">
        <v>153418</v>
      </c>
      <c r="C68" s="239">
        <v>6.5</v>
      </c>
      <c r="D68" s="239">
        <v>52.5</v>
      </c>
      <c r="E68" s="239">
        <v>0.84</v>
      </c>
      <c r="F68" s="239">
        <v>0.85</v>
      </c>
      <c r="G68" s="239">
        <v>118.35</v>
      </c>
      <c r="H68" s="239">
        <v>70</v>
      </c>
      <c r="I68" s="239">
        <v>125</v>
      </c>
      <c r="J68" s="239">
        <v>10</v>
      </c>
      <c r="K68" s="239">
        <v>14</v>
      </c>
      <c r="L68" s="239">
        <v>5</v>
      </c>
      <c r="T68" s="239" t="str">
        <f t="shared" si="31"/>
        <v>Tandem disk - 44 ft. 11 in.</v>
      </c>
      <c r="U68" s="239" t="str">
        <f t="shared" si="29"/>
        <v>Tandem disk</v>
      </c>
      <c r="V68" s="239" t="str">
        <f t="shared" si="30"/>
        <v>44 ft. 11 in.</v>
      </c>
      <c r="W68" s="239">
        <f t="shared" si="30"/>
        <v>187901</v>
      </c>
      <c r="X68" s="239">
        <f t="shared" si="30"/>
        <v>6</v>
      </c>
      <c r="Y68" s="239">
        <f t="shared" si="30"/>
        <v>45</v>
      </c>
      <c r="Z68" s="239">
        <f t="shared" si="30"/>
        <v>0.83</v>
      </c>
      <c r="AA68" s="239">
        <f t="shared" si="30"/>
        <v>0.85</v>
      </c>
      <c r="AB68" s="239">
        <f t="shared" si="30"/>
        <v>108</v>
      </c>
      <c r="AC68" s="239">
        <f t="shared" si="30"/>
        <v>70</v>
      </c>
      <c r="AD68" s="239">
        <f t="shared" si="30"/>
        <v>125</v>
      </c>
      <c r="AE68" s="239">
        <f t="shared" si="30"/>
        <v>10</v>
      </c>
      <c r="AF68" s="239">
        <f t="shared" si="30"/>
        <v>13</v>
      </c>
      <c r="AG68" s="239">
        <f t="shared" si="30"/>
        <v>4</v>
      </c>
    </row>
    <row r="69" spans="1:33">
      <c r="A69" s="239" t="s">
        <v>376</v>
      </c>
      <c r="B69" s="239">
        <v>161372</v>
      </c>
      <c r="C69" s="239">
        <v>6.5</v>
      </c>
      <c r="D69" s="239">
        <v>56.5</v>
      </c>
      <c r="E69" s="239">
        <v>0.84</v>
      </c>
      <c r="F69" s="239">
        <v>0.85</v>
      </c>
      <c r="G69" s="239">
        <v>118.4</v>
      </c>
      <c r="H69" s="239">
        <v>70</v>
      </c>
      <c r="I69" s="239">
        <v>125</v>
      </c>
      <c r="J69" s="239">
        <v>10</v>
      </c>
      <c r="K69" s="239">
        <v>14</v>
      </c>
      <c r="L69" s="239">
        <v>5</v>
      </c>
      <c r="T69" s="239" t="str">
        <f t="shared" si="31"/>
        <v>Broadcast seeding - 40 ft.</v>
      </c>
      <c r="U69" s="239" t="str">
        <f>$A$80</f>
        <v>Broadcast seeding</v>
      </c>
      <c r="V69" s="239" t="str">
        <f>A81</f>
        <v>40 ft.</v>
      </c>
      <c r="W69" s="239">
        <f t="shared" ref="W69:AG69" si="32">B81</f>
        <v>3919</v>
      </c>
      <c r="X69" s="239">
        <f t="shared" si="32"/>
        <v>4</v>
      </c>
      <c r="Y69" s="239">
        <f t="shared" si="32"/>
        <v>40</v>
      </c>
      <c r="Z69" s="239">
        <f t="shared" si="32"/>
        <v>0.83</v>
      </c>
      <c r="AA69" s="239">
        <f t="shared" si="32"/>
        <v>0.5</v>
      </c>
      <c r="AB69" s="239">
        <f t="shared" si="32"/>
        <v>66.75</v>
      </c>
      <c r="AC69" s="239">
        <f t="shared" si="32"/>
        <v>44.5</v>
      </c>
      <c r="AD69" s="239">
        <f t="shared" si="32"/>
        <v>100</v>
      </c>
      <c r="AE69" s="239">
        <f t="shared" si="32"/>
        <v>10</v>
      </c>
      <c r="AF69" s="239">
        <f t="shared" si="32"/>
        <v>1</v>
      </c>
      <c r="AG69" s="239">
        <f t="shared" si="32"/>
        <v>7</v>
      </c>
    </row>
    <row r="70" spans="1:33">
      <c r="A70" s="239" t="s">
        <v>377</v>
      </c>
      <c r="B70" s="239">
        <v>164043</v>
      </c>
      <c r="C70" s="239">
        <v>6.5</v>
      </c>
      <c r="D70" s="239">
        <v>60.5</v>
      </c>
      <c r="E70" s="239">
        <v>0.84</v>
      </c>
      <c r="F70" s="239">
        <v>0.85</v>
      </c>
      <c r="G70" s="239">
        <v>118.4</v>
      </c>
      <c r="H70" s="239">
        <v>70</v>
      </c>
      <c r="I70" s="239">
        <v>125</v>
      </c>
      <c r="J70" s="239">
        <v>10</v>
      </c>
      <c r="K70" s="239">
        <v>15</v>
      </c>
      <c r="L70" s="239">
        <v>5</v>
      </c>
      <c r="T70" s="239" t="str">
        <f t="shared" si="31"/>
        <v>Conventional planter - 6-row</v>
      </c>
      <c r="U70" s="239" t="str">
        <f>$A$82</f>
        <v>Conventional planter</v>
      </c>
      <c r="V70" s="239" t="str">
        <f t="shared" ref="V70:V76" si="33">A83</f>
        <v>6-row</v>
      </c>
      <c r="W70" s="239">
        <f t="shared" ref="W70:AG76" si="34">B83</f>
        <v>51105</v>
      </c>
      <c r="X70" s="239">
        <f t="shared" si="34"/>
        <v>6</v>
      </c>
      <c r="Y70" s="239">
        <f t="shared" si="34"/>
        <v>15</v>
      </c>
      <c r="Z70" s="239">
        <f t="shared" si="34"/>
        <v>0.7</v>
      </c>
      <c r="AA70" s="239">
        <f t="shared" si="34"/>
        <v>0.75</v>
      </c>
      <c r="AB70" s="239">
        <f t="shared" si="34"/>
        <v>50</v>
      </c>
      <c r="AC70" s="239">
        <f t="shared" si="34"/>
        <v>70</v>
      </c>
      <c r="AD70" s="239">
        <f t="shared" si="34"/>
        <v>80</v>
      </c>
      <c r="AE70" s="239">
        <f t="shared" si="34"/>
        <v>10</v>
      </c>
      <c r="AF70" s="239">
        <f t="shared" si="34"/>
        <v>4</v>
      </c>
      <c r="AG70" s="239">
        <f t="shared" si="34"/>
        <v>7</v>
      </c>
    </row>
    <row r="71" spans="1:33">
      <c r="A71" s="239" t="s">
        <v>378</v>
      </c>
      <c r="B71" s="239">
        <v>189574</v>
      </c>
      <c r="C71" s="239">
        <v>6.5</v>
      </c>
      <c r="D71" s="239">
        <v>64.5</v>
      </c>
      <c r="E71" s="239">
        <v>0.84</v>
      </c>
      <c r="F71" s="239">
        <v>0.85</v>
      </c>
      <c r="G71" s="239">
        <v>118.4</v>
      </c>
      <c r="H71" s="239">
        <v>70</v>
      </c>
      <c r="I71" s="239">
        <v>125</v>
      </c>
      <c r="J71" s="239">
        <v>10</v>
      </c>
      <c r="K71" s="239">
        <v>16</v>
      </c>
      <c r="L71" s="239">
        <v>5</v>
      </c>
      <c r="T71" s="239" t="str">
        <f t="shared" si="31"/>
        <v>Conventional planter - 8-row</v>
      </c>
      <c r="U71" s="239" t="str">
        <f t="shared" ref="U71:U76" si="35">$A$82</f>
        <v>Conventional planter</v>
      </c>
      <c r="V71" s="239" t="str">
        <f t="shared" si="33"/>
        <v>8-row</v>
      </c>
      <c r="W71" s="239">
        <f t="shared" si="34"/>
        <v>62788</v>
      </c>
      <c r="X71" s="239">
        <f t="shared" si="34"/>
        <v>6</v>
      </c>
      <c r="Y71" s="239">
        <f t="shared" si="34"/>
        <v>20</v>
      </c>
      <c r="Z71" s="239">
        <f t="shared" si="34"/>
        <v>0.7</v>
      </c>
      <c r="AA71" s="239">
        <f t="shared" si="34"/>
        <v>0.75</v>
      </c>
      <c r="AB71" s="239">
        <f t="shared" si="34"/>
        <v>50</v>
      </c>
      <c r="AC71" s="239">
        <f t="shared" si="34"/>
        <v>70</v>
      </c>
      <c r="AD71" s="239">
        <f t="shared" si="34"/>
        <v>80</v>
      </c>
      <c r="AE71" s="239">
        <f t="shared" si="34"/>
        <v>10</v>
      </c>
      <c r="AF71" s="239">
        <f t="shared" si="34"/>
        <v>5</v>
      </c>
      <c r="AG71" s="239">
        <f t="shared" si="34"/>
        <v>7</v>
      </c>
    </row>
    <row r="72" spans="1:33">
      <c r="A72" s="239" t="s">
        <v>465</v>
      </c>
      <c r="B72" s="239">
        <v>201072</v>
      </c>
      <c r="C72" s="239">
        <v>6.5</v>
      </c>
      <c r="D72" s="239">
        <v>69.5</v>
      </c>
      <c r="E72" s="239">
        <v>0.84</v>
      </c>
      <c r="F72" s="239">
        <v>0.85</v>
      </c>
      <c r="G72" s="239">
        <v>118.4</v>
      </c>
      <c r="H72" s="239">
        <v>70</v>
      </c>
      <c r="I72" s="239">
        <v>125</v>
      </c>
      <c r="J72" s="239">
        <v>10</v>
      </c>
      <c r="K72" s="239">
        <v>17</v>
      </c>
      <c r="L72" s="239">
        <v>5</v>
      </c>
      <c r="T72" s="239" t="str">
        <f t="shared" si="31"/>
        <v>Conventional planter - 12-row</v>
      </c>
      <c r="U72" s="239" t="str">
        <f t="shared" si="35"/>
        <v>Conventional planter</v>
      </c>
      <c r="V72" s="239" t="str">
        <f t="shared" si="33"/>
        <v>12-row</v>
      </c>
      <c r="W72" s="239">
        <f t="shared" si="34"/>
        <v>165119</v>
      </c>
      <c r="X72" s="239">
        <f t="shared" si="34"/>
        <v>6</v>
      </c>
      <c r="Y72" s="239">
        <f t="shared" si="34"/>
        <v>30</v>
      </c>
      <c r="Z72" s="239">
        <f t="shared" si="34"/>
        <v>0.7</v>
      </c>
      <c r="AA72" s="239">
        <f t="shared" si="34"/>
        <v>0.75</v>
      </c>
      <c r="AB72" s="239">
        <f t="shared" si="34"/>
        <v>50</v>
      </c>
      <c r="AC72" s="239">
        <f t="shared" si="34"/>
        <v>70</v>
      </c>
      <c r="AD72" s="239">
        <f t="shared" si="34"/>
        <v>80</v>
      </c>
      <c r="AE72" s="239">
        <f t="shared" si="34"/>
        <v>10</v>
      </c>
      <c r="AF72" s="239">
        <f t="shared" si="34"/>
        <v>7</v>
      </c>
      <c r="AG72" s="239">
        <f t="shared" si="34"/>
        <v>7</v>
      </c>
    </row>
    <row r="73" spans="1:33">
      <c r="A73" s="239" t="s">
        <v>208</v>
      </c>
      <c r="T73" s="239" t="str">
        <f t="shared" si="31"/>
        <v>Conventional planter - 16-row</v>
      </c>
      <c r="U73" s="239" t="str">
        <f t="shared" si="35"/>
        <v>Conventional planter</v>
      </c>
      <c r="V73" s="239" t="str">
        <f t="shared" si="33"/>
        <v>16-row</v>
      </c>
      <c r="W73" s="239">
        <f t="shared" si="34"/>
        <v>178146</v>
      </c>
      <c r="X73" s="239">
        <f t="shared" si="34"/>
        <v>6</v>
      </c>
      <c r="Y73" s="239">
        <f t="shared" si="34"/>
        <v>40</v>
      </c>
      <c r="Z73" s="239">
        <f t="shared" si="34"/>
        <v>0.7</v>
      </c>
      <c r="AA73" s="239">
        <f t="shared" si="34"/>
        <v>0.75</v>
      </c>
      <c r="AB73" s="239">
        <f t="shared" si="34"/>
        <v>50</v>
      </c>
      <c r="AC73" s="239">
        <f t="shared" si="34"/>
        <v>70</v>
      </c>
      <c r="AD73" s="239">
        <f t="shared" si="34"/>
        <v>80</v>
      </c>
      <c r="AE73" s="239">
        <f t="shared" si="34"/>
        <v>10</v>
      </c>
      <c r="AF73" s="239">
        <f t="shared" si="34"/>
        <v>8</v>
      </c>
      <c r="AG73" s="239">
        <f t="shared" si="34"/>
        <v>7</v>
      </c>
    </row>
    <row r="74" spans="1:33">
      <c r="A74" s="239" t="s">
        <v>379</v>
      </c>
      <c r="B74" s="239">
        <v>85858</v>
      </c>
      <c r="C74" s="239">
        <v>6</v>
      </c>
      <c r="D74" s="239">
        <v>23.58</v>
      </c>
      <c r="E74" s="239">
        <v>0.83</v>
      </c>
      <c r="F74" s="239">
        <v>0.85</v>
      </c>
      <c r="G74" s="239">
        <v>108</v>
      </c>
      <c r="H74" s="239">
        <v>70</v>
      </c>
      <c r="I74" s="239">
        <v>125</v>
      </c>
      <c r="J74" s="239">
        <v>10</v>
      </c>
      <c r="K74" s="239">
        <v>7</v>
      </c>
      <c r="L74" s="239">
        <v>4</v>
      </c>
      <c r="T74" s="239" t="str">
        <f t="shared" si="31"/>
        <v>Conventional planter - 24-row</v>
      </c>
      <c r="U74" s="239" t="str">
        <f t="shared" si="35"/>
        <v>Conventional planter</v>
      </c>
      <c r="V74" s="239" t="str">
        <f t="shared" si="33"/>
        <v>24-row</v>
      </c>
      <c r="W74" s="239">
        <f t="shared" si="34"/>
        <v>274918</v>
      </c>
      <c r="X74" s="239">
        <f t="shared" si="34"/>
        <v>6</v>
      </c>
      <c r="Y74" s="239">
        <f t="shared" si="34"/>
        <v>60</v>
      </c>
      <c r="Z74" s="239">
        <f t="shared" si="34"/>
        <v>0.7</v>
      </c>
      <c r="AA74" s="239">
        <f t="shared" si="34"/>
        <v>0.75</v>
      </c>
      <c r="AB74" s="239">
        <f t="shared" si="34"/>
        <v>50</v>
      </c>
      <c r="AC74" s="239">
        <f t="shared" si="34"/>
        <v>70</v>
      </c>
      <c r="AD74" s="239">
        <f t="shared" si="34"/>
        <v>80</v>
      </c>
      <c r="AE74" s="239">
        <f t="shared" si="34"/>
        <v>10</v>
      </c>
      <c r="AF74" s="239">
        <f t="shared" si="34"/>
        <v>10</v>
      </c>
      <c r="AG74" s="239">
        <f t="shared" si="34"/>
        <v>7</v>
      </c>
    </row>
    <row r="75" spans="1:33">
      <c r="A75" s="239" t="s">
        <v>380</v>
      </c>
      <c r="B75" s="239">
        <v>94971</v>
      </c>
      <c r="C75" s="239">
        <v>6</v>
      </c>
      <c r="D75" s="239">
        <v>26.42</v>
      </c>
      <c r="E75" s="239">
        <v>0.83</v>
      </c>
      <c r="F75" s="239">
        <v>0.85</v>
      </c>
      <c r="G75" s="239">
        <v>108</v>
      </c>
      <c r="H75" s="239">
        <v>70</v>
      </c>
      <c r="I75" s="239">
        <v>125</v>
      </c>
      <c r="J75" s="239">
        <v>10</v>
      </c>
      <c r="K75" s="239">
        <v>8</v>
      </c>
      <c r="L75" s="239">
        <v>4</v>
      </c>
      <c r="T75" s="239" t="str">
        <f t="shared" si="31"/>
        <v>Conventional planter - 32-row</v>
      </c>
      <c r="U75" s="239" t="str">
        <f t="shared" si="35"/>
        <v>Conventional planter</v>
      </c>
      <c r="V75" s="239" t="str">
        <f t="shared" si="33"/>
        <v>32-row</v>
      </c>
      <c r="W75" s="239">
        <f t="shared" si="34"/>
        <v>493151</v>
      </c>
      <c r="X75" s="239">
        <f t="shared" si="34"/>
        <v>6</v>
      </c>
      <c r="Y75" s="239">
        <f t="shared" si="34"/>
        <v>80</v>
      </c>
      <c r="Z75" s="239">
        <f t="shared" si="34"/>
        <v>0.7</v>
      </c>
      <c r="AA75" s="239">
        <f t="shared" si="34"/>
        <v>0.75</v>
      </c>
      <c r="AB75" s="239">
        <f t="shared" si="34"/>
        <v>50</v>
      </c>
      <c r="AC75" s="239">
        <f t="shared" si="34"/>
        <v>70</v>
      </c>
      <c r="AD75" s="239">
        <f t="shared" si="34"/>
        <v>80</v>
      </c>
      <c r="AE75" s="239">
        <f t="shared" si="34"/>
        <v>10</v>
      </c>
      <c r="AF75" s="239">
        <f t="shared" si="34"/>
        <v>11</v>
      </c>
      <c r="AG75" s="239">
        <f t="shared" si="34"/>
        <v>7</v>
      </c>
    </row>
    <row r="76" spans="1:33">
      <c r="A76" s="239" t="s">
        <v>381</v>
      </c>
      <c r="B76" s="239">
        <v>101971</v>
      </c>
      <c r="C76" s="239">
        <v>6</v>
      </c>
      <c r="D76" s="239">
        <v>29.25</v>
      </c>
      <c r="E76" s="239">
        <v>0.83</v>
      </c>
      <c r="F76" s="239">
        <v>0.85</v>
      </c>
      <c r="G76" s="239">
        <v>108</v>
      </c>
      <c r="H76" s="239">
        <v>70</v>
      </c>
      <c r="I76" s="239">
        <v>125</v>
      </c>
      <c r="J76" s="239">
        <v>10</v>
      </c>
      <c r="K76" s="239">
        <v>9</v>
      </c>
      <c r="L76" s="239">
        <v>4</v>
      </c>
      <c r="T76" s="239" t="str">
        <f t="shared" si="31"/>
        <v>Conventional planter - 36-row</v>
      </c>
      <c r="U76" s="239" t="str">
        <f t="shared" si="35"/>
        <v>Conventional planter</v>
      </c>
      <c r="V76" s="239" t="str">
        <f t="shared" si="33"/>
        <v>36-row</v>
      </c>
      <c r="W76" s="239">
        <f t="shared" si="34"/>
        <v>531076</v>
      </c>
      <c r="X76" s="239">
        <f t="shared" si="34"/>
        <v>6</v>
      </c>
      <c r="Y76" s="239">
        <f t="shared" si="34"/>
        <v>90</v>
      </c>
      <c r="Z76" s="239">
        <f t="shared" si="34"/>
        <v>0.7</v>
      </c>
      <c r="AA76" s="239">
        <f t="shared" si="34"/>
        <v>0.75</v>
      </c>
      <c r="AB76" s="239">
        <f t="shared" si="34"/>
        <v>50</v>
      </c>
      <c r="AC76" s="239">
        <f t="shared" si="34"/>
        <v>70</v>
      </c>
      <c r="AD76" s="239">
        <f t="shared" si="34"/>
        <v>80</v>
      </c>
      <c r="AE76" s="239">
        <f t="shared" si="34"/>
        <v>10</v>
      </c>
      <c r="AF76" s="239">
        <f t="shared" si="34"/>
        <v>13</v>
      </c>
      <c r="AG76" s="239">
        <f t="shared" si="34"/>
        <v>7</v>
      </c>
    </row>
    <row r="77" spans="1:33">
      <c r="A77" s="239" t="s">
        <v>382</v>
      </c>
      <c r="B77" s="239">
        <v>116032</v>
      </c>
      <c r="C77" s="239">
        <v>6</v>
      </c>
      <c r="D77" s="239">
        <v>33.58</v>
      </c>
      <c r="E77" s="239">
        <v>0.83</v>
      </c>
      <c r="F77" s="239">
        <v>0.85</v>
      </c>
      <c r="G77" s="239">
        <v>108</v>
      </c>
      <c r="H77" s="239">
        <v>70</v>
      </c>
      <c r="I77" s="239">
        <v>125</v>
      </c>
      <c r="J77" s="239">
        <v>10</v>
      </c>
      <c r="K77" s="239">
        <v>10</v>
      </c>
      <c r="L77" s="239">
        <v>4</v>
      </c>
      <c r="T77" s="239" t="str">
        <f t="shared" si="31"/>
        <v>Split-row planter (soybean acres only)² - 12-row split</v>
      </c>
      <c r="U77" s="239" t="str">
        <f>$A$90</f>
        <v>Split-row planter (soybean acres only)²</v>
      </c>
      <c r="V77" s="239" t="str">
        <f>A91</f>
        <v>12-row split</v>
      </c>
      <c r="W77" s="239">
        <f t="shared" ref="W77:AG77" si="36">B91</f>
        <v>59679</v>
      </c>
      <c r="X77" s="239">
        <f t="shared" si="36"/>
        <v>6</v>
      </c>
      <c r="Y77" s="239">
        <f t="shared" si="36"/>
        <v>30</v>
      </c>
      <c r="Z77" s="239">
        <f t="shared" si="36"/>
        <v>0.7</v>
      </c>
      <c r="AA77" s="239">
        <f t="shared" si="36"/>
        <v>0.75</v>
      </c>
      <c r="AB77" s="239">
        <f t="shared" si="36"/>
        <v>25</v>
      </c>
      <c r="AC77" s="239">
        <f t="shared" si="36"/>
        <v>35</v>
      </c>
      <c r="AD77" s="239">
        <f t="shared" si="36"/>
        <v>40</v>
      </c>
      <c r="AE77" s="239">
        <f t="shared" si="36"/>
        <v>10</v>
      </c>
      <c r="AF77" s="239">
        <f t="shared" si="36"/>
        <v>8</v>
      </c>
      <c r="AG77" s="239">
        <f t="shared" si="36"/>
        <v>7</v>
      </c>
    </row>
    <row r="78" spans="1:33">
      <c r="A78" s="239" t="s">
        <v>383</v>
      </c>
      <c r="B78" s="239">
        <v>153077</v>
      </c>
      <c r="C78" s="239">
        <v>6</v>
      </c>
      <c r="D78" s="239">
        <v>40.667000000000002</v>
      </c>
      <c r="E78" s="239">
        <v>0.83</v>
      </c>
      <c r="F78" s="239">
        <v>0.85</v>
      </c>
      <c r="G78" s="239">
        <v>108</v>
      </c>
      <c r="H78" s="239">
        <v>70</v>
      </c>
      <c r="I78" s="239">
        <v>125</v>
      </c>
      <c r="J78" s="239">
        <v>10</v>
      </c>
      <c r="K78" s="239">
        <v>12</v>
      </c>
      <c r="L78" s="239">
        <v>4</v>
      </c>
      <c r="T78" s="239" t="str">
        <f t="shared" si="31"/>
        <v>Split-row planter (soybean acres only)² - 16-row split</v>
      </c>
      <c r="U78" s="239" t="str">
        <f>$A$90</f>
        <v>Split-row planter (soybean acres only)²</v>
      </c>
      <c r="V78" s="239" t="str">
        <f>A92</f>
        <v>16-row split</v>
      </c>
      <c r="W78" s="239">
        <f t="shared" ref="W78:AG78" si="37">B92</f>
        <v>76191</v>
      </c>
      <c r="X78" s="239">
        <f t="shared" si="37"/>
        <v>6</v>
      </c>
      <c r="Y78" s="239">
        <f t="shared" si="37"/>
        <v>40</v>
      </c>
      <c r="Z78" s="239">
        <f t="shared" si="37"/>
        <v>0.7</v>
      </c>
      <c r="AA78" s="239">
        <f t="shared" si="37"/>
        <v>0.75</v>
      </c>
      <c r="AB78" s="239">
        <f t="shared" si="37"/>
        <v>25</v>
      </c>
      <c r="AC78" s="239">
        <f t="shared" si="37"/>
        <v>35</v>
      </c>
      <c r="AD78" s="239">
        <f t="shared" si="37"/>
        <v>40</v>
      </c>
      <c r="AE78" s="239">
        <f t="shared" si="37"/>
        <v>10</v>
      </c>
      <c r="AF78" s="239">
        <f t="shared" si="37"/>
        <v>9</v>
      </c>
      <c r="AG78" s="239">
        <f t="shared" si="37"/>
        <v>7</v>
      </c>
    </row>
    <row r="79" spans="1:33">
      <c r="A79" s="239" t="s">
        <v>384</v>
      </c>
      <c r="B79" s="239">
        <v>187901</v>
      </c>
      <c r="C79" s="239">
        <v>6</v>
      </c>
      <c r="D79" s="239">
        <v>45</v>
      </c>
      <c r="E79" s="239">
        <v>0.83</v>
      </c>
      <c r="F79" s="239">
        <v>0.85</v>
      </c>
      <c r="G79" s="239">
        <v>108</v>
      </c>
      <c r="H79" s="239">
        <v>70</v>
      </c>
      <c r="I79" s="239">
        <v>125</v>
      </c>
      <c r="J79" s="239">
        <v>10</v>
      </c>
      <c r="K79" s="239">
        <v>13</v>
      </c>
      <c r="L79" s="239">
        <v>4</v>
      </c>
      <c r="T79" s="239" t="str">
        <f t="shared" si="31"/>
        <v>No-till planter (30" rows) - 8-row</v>
      </c>
      <c r="U79" s="239" t="str">
        <f>$A$93</f>
        <v>No-till planter (30" rows)</v>
      </c>
      <c r="V79" s="239" t="str">
        <f>A94</f>
        <v>8-row</v>
      </c>
      <c r="W79" s="239">
        <f t="shared" ref="W79:AG82" si="38">B94</f>
        <v>66892</v>
      </c>
      <c r="X79" s="239">
        <f t="shared" si="38"/>
        <v>6</v>
      </c>
      <c r="Y79" s="239">
        <f t="shared" si="38"/>
        <v>20</v>
      </c>
      <c r="Z79" s="239">
        <f t="shared" si="38"/>
        <v>0.7</v>
      </c>
      <c r="AA79" s="239">
        <f t="shared" si="38"/>
        <v>0.75</v>
      </c>
      <c r="AB79" s="239">
        <f t="shared" si="38"/>
        <v>60</v>
      </c>
      <c r="AC79" s="239">
        <f t="shared" si="38"/>
        <v>70</v>
      </c>
      <c r="AD79" s="239">
        <f t="shared" si="38"/>
        <v>100</v>
      </c>
      <c r="AE79" s="239">
        <f t="shared" si="38"/>
        <v>10</v>
      </c>
      <c r="AF79" s="239">
        <f t="shared" si="38"/>
        <v>5</v>
      </c>
      <c r="AG79" s="239">
        <f t="shared" si="38"/>
        <v>7</v>
      </c>
    </row>
    <row r="80" spans="1:33">
      <c r="A80" s="239" t="s">
        <v>385</v>
      </c>
      <c r="T80" s="239" t="str">
        <f t="shared" si="31"/>
        <v>No-till planter (30" rows) - 12-row</v>
      </c>
      <c r="U80" s="239" t="str">
        <f>$A$93</f>
        <v>No-till planter (30" rows)</v>
      </c>
      <c r="V80" s="239" t="str">
        <f>A95</f>
        <v>12-row</v>
      </c>
      <c r="W80" s="239">
        <f t="shared" si="38"/>
        <v>181225</v>
      </c>
      <c r="X80" s="239">
        <f t="shared" si="38"/>
        <v>6</v>
      </c>
      <c r="Y80" s="239">
        <f t="shared" si="38"/>
        <v>30</v>
      </c>
      <c r="Z80" s="239">
        <f t="shared" si="38"/>
        <v>0.7</v>
      </c>
      <c r="AA80" s="239">
        <f t="shared" si="38"/>
        <v>0.75</v>
      </c>
      <c r="AB80" s="239">
        <f t="shared" si="38"/>
        <v>117.9</v>
      </c>
      <c r="AC80" s="239">
        <f t="shared" si="38"/>
        <v>70</v>
      </c>
      <c r="AD80" s="239">
        <f t="shared" si="38"/>
        <v>100</v>
      </c>
      <c r="AE80" s="239">
        <f t="shared" si="38"/>
        <v>10</v>
      </c>
      <c r="AF80" s="239">
        <f t="shared" si="38"/>
        <v>7</v>
      </c>
      <c r="AG80" s="239">
        <f t="shared" si="38"/>
        <v>7</v>
      </c>
    </row>
    <row r="81" spans="1:33">
      <c r="A81" s="239" t="s">
        <v>342</v>
      </c>
      <c r="B81" s="239">
        <v>3919</v>
      </c>
      <c r="C81" s="239">
        <v>4</v>
      </c>
      <c r="D81" s="239">
        <v>40</v>
      </c>
      <c r="E81" s="239">
        <v>0.83</v>
      </c>
      <c r="F81" s="239">
        <v>0.5</v>
      </c>
      <c r="G81" s="239">
        <v>66.75</v>
      </c>
      <c r="H81" s="239">
        <v>44.5</v>
      </c>
      <c r="I81" s="239">
        <v>100</v>
      </c>
      <c r="J81" s="239">
        <v>10</v>
      </c>
      <c r="K81" s="239">
        <v>1</v>
      </c>
      <c r="L81" s="239">
        <v>7</v>
      </c>
      <c r="T81" s="239" t="str">
        <f t="shared" si="31"/>
        <v>No-till planter (30" rows) - 16-row</v>
      </c>
      <c r="U81" s="239" t="str">
        <f>$A$93</f>
        <v>No-till planter (30" rows)</v>
      </c>
      <c r="V81" s="239" t="str">
        <f>A96</f>
        <v>16-row</v>
      </c>
      <c r="W81" s="239">
        <f t="shared" si="38"/>
        <v>199394</v>
      </c>
      <c r="X81" s="239">
        <f t="shared" si="38"/>
        <v>6</v>
      </c>
      <c r="Y81" s="239">
        <f t="shared" si="38"/>
        <v>40</v>
      </c>
      <c r="Z81" s="239">
        <f t="shared" si="38"/>
        <v>0.7</v>
      </c>
      <c r="AA81" s="239">
        <f t="shared" si="38"/>
        <v>0.75</v>
      </c>
      <c r="AB81" s="239">
        <f t="shared" si="38"/>
        <v>117.9</v>
      </c>
      <c r="AC81" s="239">
        <f t="shared" si="38"/>
        <v>70</v>
      </c>
      <c r="AD81" s="239">
        <f t="shared" si="38"/>
        <v>100</v>
      </c>
      <c r="AE81" s="239">
        <f t="shared" si="38"/>
        <v>10</v>
      </c>
      <c r="AF81" s="239">
        <f t="shared" si="38"/>
        <v>9</v>
      </c>
      <c r="AG81" s="239">
        <f t="shared" si="38"/>
        <v>7</v>
      </c>
    </row>
    <row r="82" spans="1:33">
      <c r="A82" s="239" t="s">
        <v>288</v>
      </c>
      <c r="T82" s="239" t="str">
        <f t="shared" si="31"/>
        <v>No-till planter (30" rows) - 24-row</v>
      </c>
      <c r="U82" s="239" t="str">
        <f>$A$93</f>
        <v>No-till planter (30" rows)</v>
      </c>
      <c r="V82" s="239" t="str">
        <f>A97</f>
        <v>24-row</v>
      </c>
      <c r="W82" s="239">
        <f t="shared" si="38"/>
        <v>287230</v>
      </c>
      <c r="X82" s="239">
        <f t="shared" si="38"/>
        <v>6</v>
      </c>
      <c r="Y82" s="239">
        <f t="shared" si="38"/>
        <v>60</v>
      </c>
      <c r="Z82" s="239">
        <f t="shared" si="38"/>
        <v>0.7</v>
      </c>
      <c r="AA82" s="239">
        <f t="shared" si="38"/>
        <v>0.75</v>
      </c>
      <c r="AB82" s="239">
        <f t="shared" si="38"/>
        <v>117.9</v>
      </c>
      <c r="AC82" s="239">
        <f t="shared" si="38"/>
        <v>70</v>
      </c>
      <c r="AD82" s="239">
        <f t="shared" si="38"/>
        <v>100</v>
      </c>
      <c r="AE82" s="239">
        <f t="shared" si="38"/>
        <v>10</v>
      </c>
      <c r="AF82" s="239">
        <f t="shared" si="38"/>
        <v>11</v>
      </c>
      <c r="AG82" s="239">
        <f t="shared" si="38"/>
        <v>7</v>
      </c>
    </row>
    <row r="83" spans="1:33">
      <c r="A83" s="239" t="s">
        <v>209</v>
      </c>
      <c r="B83" s="239">
        <v>51105</v>
      </c>
      <c r="C83" s="239">
        <v>6</v>
      </c>
      <c r="D83" s="239">
        <v>15</v>
      </c>
      <c r="E83" s="239">
        <v>0.7</v>
      </c>
      <c r="F83" s="239">
        <v>0.75</v>
      </c>
      <c r="G83" s="239">
        <v>50</v>
      </c>
      <c r="H83" s="239">
        <v>70</v>
      </c>
      <c r="I83" s="239">
        <v>80</v>
      </c>
      <c r="J83" s="239">
        <v>10</v>
      </c>
      <c r="K83" s="239">
        <v>4</v>
      </c>
      <c r="L83" s="239">
        <v>7</v>
      </c>
      <c r="T83" s="239" t="str">
        <f t="shared" si="31"/>
        <v>Grain drill - 13 ft.</v>
      </c>
      <c r="U83" s="239" t="str">
        <f>$A$98</f>
        <v>Grain drill</v>
      </c>
      <c r="V83" s="239" t="str">
        <f>A99</f>
        <v>13 ft.</v>
      </c>
      <c r="W83" s="239">
        <f t="shared" ref="W83:AG86" si="39">B99</f>
        <v>27529</v>
      </c>
      <c r="X83" s="239">
        <f t="shared" si="39"/>
        <v>5.5</v>
      </c>
      <c r="Y83" s="239">
        <f t="shared" si="39"/>
        <v>13</v>
      </c>
      <c r="Z83" s="239">
        <f t="shared" si="39"/>
        <v>0.7</v>
      </c>
      <c r="AA83" s="239">
        <f t="shared" si="39"/>
        <v>0.75</v>
      </c>
      <c r="AB83" s="239">
        <f t="shared" si="39"/>
        <v>85.65</v>
      </c>
      <c r="AC83" s="239">
        <f t="shared" si="39"/>
        <v>57.1</v>
      </c>
      <c r="AD83" s="239">
        <f t="shared" si="39"/>
        <v>125</v>
      </c>
      <c r="AE83" s="239">
        <f t="shared" si="39"/>
        <v>10</v>
      </c>
      <c r="AF83" s="239">
        <f t="shared" si="39"/>
        <v>3</v>
      </c>
      <c r="AG83" s="239">
        <f t="shared" si="39"/>
        <v>13</v>
      </c>
    </row>
    <row r="84" spans="1:33">
      <c r="A84" s="239" t="s">
        <v>113</v>
      </c>
      <c r="B84" s="239">
        <v>62788</v>
      </c>
      <c r="C84" s="239">
        <v>6</v>
      </c>
      <c r="D84" s="239">
        <v>20</v>
      </c>
      <c r="E84" s="239">
        <v>0.7</v>
      </c>
      <c r="F84" s="239">
        <v>0.75</v>
      </c>
      <c r="G84" s="239">
        <v>50</v>
      </c>
      <c r="H84" s="239">
        <v>70</v>
      </c>
      <c r="I84" s="239">
        <v>80</v>
      </c>
      <c r="J84" s="239">
        <v>10</v>
      </c>
      <c r="K84" s="239">
        <v>5</v>
      </c>
      <c r="L84" s="239">
        <v>7</v>
      </c>
      <c r="T84" s="239" t="str">
        <f t="shared" si="31"/>
        <v>Grain drill - 25 ft.</v>
      </c>
      <c r="U84" s="239" t="str">
        <f>$A$98</f>
        <v>Grain drill</v>
      </c>
      <c r="V84" s="239" t="str">
        <f>A100</f>
        <v>25 ft.</v>
      </c>
      <c r="W84" s="239">
        <f t="shared" si="39"/>
        <v>60775</v>
      </c>
      <c r="X84" s="239">
        <f t="shared" si="39"/>
        <v>5.5</v>
      </c>
      <c r="Y84" s="239">
        <f t="shared" si="39"/>
        <v>25</v>
      </c>
      <c r="Z84" s="239">
        <f t="shared" si="39"/>
        <v>0.7</v>
      </c>
      <c r="AA84" s="239">
        <f t="shared" si="39"/>
        <v>0.75</v>
      </c>
      <c r="AB84" s="239">
        <f t="shared" si="39"/>
        <v>60</v>
      </c>
      <c r="AC84" s="239">
        <f t="shared" si="39"/>
        <v>57.1</v>
      </c>
      <c r="AD84" s="239">
        <f t="shared" si="39"/>
        <v>125</v>
      </c>
      <c r="AE84" s="239">
        <f t="shared" si="39"/>
        <v>10</v>
      </c>
      <c r="AF84" s="239">
        <f t="shared" si="39"/>
        <v>5</v>
      </c>
      <c r="AG84" s="239">
        <f t="shared" si="39"/>
        <v>13</v>
      </c>
    </row>
    <row r="85" spans="1:33">
      <c r="A85" s="239" t="s">
        <v>114</v>
      </c>
      <c r="B85" s="239">
        <v>165119</v>
      </c>
      <c r="C85" s="239">
        <v>6</v>
      </c>
      <c r="D85" s="239">
        <v>30</v>
      </c>
      <c r="E85" s="239">
        <v>0.7</v>
      </c>
      <c r="F85" s="239">
        <v>0.75</v>
      </c>
      <c r="G85" s="239">
        <v>50</v>
      </c>
      <c r="H85" s="239">
        <v>70</v>
      </c>
      <c r="I85" s="239">
        <v>80</v>
      </c>
      <c r="J85" s="239">
        <v>10</v>
      </c>
      <c r="K85" s="239">
        <v>7</v>
      </c>
      <c r="L85" s="239">
        <v>7</v>
      </c>
      <c r="T85" s="239" t="str">
        <f t="shared" si="31"/>
        <v>Grain drill - 30 ft.</v>
      </c>
      <c r="U85" s="239" t="str">
        <f>$A$98</f>
        <v>Grain drill</v>
      </c>
      <c r="V85" s="239" t="str">
        <f>A101</f>
        <v>30 ft.</v>
      </c>
      <c r="W85" s="239">
        <f t="shared" si="39"/>
        <v>77255</v>
      </c>
      <c r="X85" s="239">
        <f t="shared" si="39"/>
        <v>5.5</v>
      </c>
      <c r="Y85" s="239">
        <f t="shared" si="39"/>
        <v>30</v>
      </c>
      <c r="Z85" s="239">
        <f t="shared" si="39"/>
        <v>0.7</v>
      </c>
      <c r="AA85" s="239">
        <f t="shared" si="39"/>
        <v>0.75</v>
      </c>
      <c r="AB85" s="239">
        <f t="shared" si="39"/>
        <v>60</v>
      </c>
      <c r="AC85" s="239">
        <f t="shared" si="39"/>
        <v>57.1</v>
      </c>
      <c r="AD85" s="239">
        <f t="shared" si="39"/>
        <v>125</v>
      </c>
      <c r="AE85" s="239">
        <f t="shared" si="39"/>
        <v>10</v>
      </c>
      <c r="AF85" s="239">
        <f t="shared" si="39"/>
        <v>7</v>
      </c>
      <c r="AG85" s="239">
        <f t="shared" si="39"/>
        <v>13</v>
      </c>
    </row>
    <row r="86" spans="1:33">
      <c r="A86" s="239" t="s">
        <v>115</v>
      </c>
      <c r="B86" s="239">
        <v>178146</v>
      </c>
      <c r="C86" s="239">
        <v>6</v>
      </c>
      <c r="D86" s="239">
        <v>40</v>
      </c>
      <c r="E86" s="239">
        <v>0.7</v>
      </c>
      <c r="F86" s="239">
        <v>0.75</v>
      </c>
      <c r="G86" s="239">
        <v>50</v>
      </c>
      <c r="H86" s="239">
        <v>70</v>
      </c>
      <c r="I86" s="239">
        <v>80</v>
      </c>
      <c r="J86" s="239">
        <v>10</v>
      </c>
      <c r="K86" s="239">
        <v>8</v>
      </c>
      <c r="L86" s="239">
        <v>7</v>
      </c>
      <c r="T86" s="239" t="str">
        <f t="shared" si="31"/>
        <v>Grain drill - 35 ft.</v>
      </c>
      <c r="U86" s="239" t="str">
        <f>$A$98</f>
        <v>Grain drill</v>
      </c>
      <c r="V86" s="239" t="str">
        <f>A102</f>
        <v>35 ft.</v>
      </c>
      <c r="W86" s="239">
        <f t="shared" si="39"/>
        <v>92035</v>
      </c>
      <c r="X86" s="239">
        <f t="shared" si="39"/>
        <v>5.5</v>
      </c>
      <c r="Y86" s="239">
        <f t="shared" si="39"/>
        <v>35</v>
      </c>
      <c r="Z86" s="239">
        <f t="shared" si="39"/>
        <v>0.7</v>
      </c>
      <c r="AA86" s="239">
        <f t="shared" si="39"/>
        <v>0.75</v>
      </c>
      <c r="AB86" s="239">
        <f t="shared" si="39"/>
        <v>60</v>
      </c>
      <c r="AC86" s="239">
        <f t="shared" si="39"/>
        <v>57.1</v>
      </c>
      <c r="AD86" s="239">
        <f t="shared" si="39"/>
        <v>125</v>
      </c>
      <c r="AE86" s="239">
        <f t="shared" si="39"/>
        <v>10</v>
      </c>
      <c r="AF86" s="239">
        <f t="shared" si="39"/>
        <v>9</v>
      </c>
      <c r="AG86" s="239">
        <f t="shared" si="39"/>
        <v>13</v>
      </c>
    </row>
    <row r="87" spans="1:33">
      <c r="A87" s="239" t="s">
        <v>116</v>
      </c>
      <c r="B87" s="239">
        <v>274918</v>
      </c>
      <c r="C87" s="239">
        <v>6</v>
      </c>
      <c r="D87" s="239">
        <v>60</v>
      </c>
      <c r="E87" s="239">
        <v>0.7</v>
      </c>
      <c r="F87" s="239">
        <v>0.75</v>
      </c>
      <c r="G87" s="239">
        <v>50</v>
      </c>
      <c r="H87" s="239">
        <v>70</v>
      </c>
      <c r="I87" s="239">
        <v>80</v>
      </c>
      <c r="J87" s="239">
        <v>10</v>
      </c>
      <c r="K87" s="239">
        <v>10</v>
      </c>
      <c r="L87" s="239">
        <v>7</v>
      </c>
      <c r="T87" s="239" t="str">
        <f t="shared" si="31"/>
        <v>No-till drill - 10 ft</v>
      </c>
      <c r="U87" s="239" t="str">
        <f>$A$103</f>
        <v>No-till drill</v>
      </c>
      <c r="V87" s="239" t="str">
        <f>A104</f>
        <v>10 ft</v>
      </c>
      <c r="W87" s="239">
        <f t="shared" ref="W87:AG89" si="40">B104</f>
        <v>60899</v>
      </c>
      <c r="X87" s="239">
        <f t="shared" si="40"/>
        <v>5.5</v>
      </c>
      <c r="Y87" s="239">
        <f t="shared" si="40"/>
        <v>10</v>
      </c>
      <c r="Z87" s="239">
        <f t="shared" si="40"/>
        <v>0.7</v>
      </c>
      <c r="AA87" s="239">
        <f t="shared" si="40"/>
        <v>0.75</v>
      </c>
      <c r="AB87" s="239">
        <f t="shared" si="40"/>
        <v>85.724999999999994</v>
      </c>
      <c r="AC87" s="239">
        <f t="shared" si="40"/>
        <v>57.15</v>
      </c>
      <c r="AD87" s="239">
        <f t="shared" si="40"/>
        <v>80</v>
      </c>
      <c r="AE87" s="239">
        <f t="shared" si="40"/>
        <v>10</v>
      </c>
      <c r="AF87" s="239">
        <f t="shared" si="40"/>
        <v>3</v>
      </c>
      <c r="AG87" s="239">
        <f t="shared" si="40"/>
        <v>13</v>
      </c>
    </row>
    <row r="88" spans="1:33">
      <c r="A88" s="239" t="s">
        <v>210</v>
      </c>
      <c r="B88" s="239">
        <v>493151</v>
      </c>
      <c r="C88" s="239">
        <v>6</v>
      </c>
      <c r="D88" s="239">
        <v>80</v>
      </c>
      <c r="E88" s="239">
        <v>0.7</v>
      </c>
      <c r="F88" s="239">
        <v>0.75</v>
      </c>
      <c r="G88" s="239">
        <v>50</v>
      </c>
      <c r="H88" s="239">
        <v>70</v>
      </c>
      <c r="I88" s="239">
        <v>80</v>
      </c>
      <c r="J88" s="239">
        <v>10</v>
      </c>
      <c r="K88" s="239">
        <v>11</v>
      </c>
      <c r="L88" s="239">
        <v>7</v>
      </c>
      <c r="T88" s="239" t="str">
        <f t="shared" si="31"/>
        <v>No-till drill - 15 ft</v>
      </c>
      <c r="U88" s="239" t="str">
        <f>$A$103</f>
        <v>No-till drill</v>
      </c>
      <c r="V88" s="239" t="str">
        <f>A105</f>
        <v>15 ft</v>
      </c>
      <c r="W88" s="239">
        <f t="shared" si="40"/>
        <v>70246</v>
      </c>
      <c r="X88" s="239">
        <f t="shared" si="40"/>
        <v>5.5</v>
      </c>
      <c r="Y88" s="239">
        <f t="shared" si="40"/>
        <v>15</v>
      </c>
      <c r="Z88" s="239">
        <f t="shared" si="40"/>
        <v>0.7</v>
      </c>
      <c r="AA88" s="239">
        <f t="shared" si="40"/>
        <v>0.75</v>
      </c>
      <c r="AB88" s="239">
        <f t="shared" si="40"/>
        <v>85.724999999999994</v>
      </c>
      <c r="AC88" s="239">
        <f t="shared" si="40"/>
        <v>57.15</v>
      </c>
      <c r="AD88" s="239">
        <f t="shared" si="40"/>
        <v>80</v>
      </c>
      <c r="AE88" s="239">
        <f t="shared" si="40"/>
        <v>10</v>
      </c>
      <c r="AF88" s="239">
        <f t="shared" si="40"/>
        <v>5</v>
      </c>
      <c r="AG88" s="239">
        <f t="shared" si="40"/>
        <v>13</v>
      </c>
    </row>
    <row r="89" spans="1:33">
      <c r="A89" s="239" t="s">
        <v>211</v>
      </c>
      <c r="B89" s="239">
        <v>531076</v>
      </c>
      <c r="C89" s="239">
        <v>6</v>
      </c>
      <c r="D89" s="239">
        <v>90</v>
      </c>
      <c r="E89" s="239">
        <v>0.7</v>
      </c>
      <c r="F89" s="239">
        <v>0.75</v>
      </c>
      <c r="G89" s="239">
        <v>50</v>
      </c>
      <c r="H89" s="239">
        <v>70</v>
      </c>
      <c r="I89" s="239">
        <v>80</v>
      </c>
      <c r="J89" s="239">
        <v>10</v>
      </c>
      <c r="K89" s="239">
        <v>13</v>
      </c>
      <c r="L89" s="239">
        <v>7</v>
      </c>
      <c r="T89" s="239" t="str">
        <f t="shared" si="31"/>
        <v>No-till drill - 20 ft.</v>
      </c>
      <c r="U89" s="239" t="str">
        <f>$A$103</f>
        <v>No-till drill</v>
      </c>
      <c r="V89" s="239" t="str">
        <f>A106</f>
        <v>20 ft.</v>
      </c>
      <c r="W89" s="239">
        <f t="shared" si="40"/>
        <v>103565</v>
      </c>
      <c r="X89" s="239">
        <f t="shared" si="40"/>
        <v>5.5</v>
      </c>
      <c r="Y89" s="239">
        <f t="shared" si="40"/>
        <v>20</v>
      </c>
      <c r="Z89" s="239">
        <f t="shared" si="40"/>
        <v>0.7</v>
      </c>
      <c r="AA89" s="239">
        <f t="shared" si="40"/>
        <v>0.75</v>
      </c>
      <c r="AB89" s="239">
        <f t="shared" si="40"/>
        <v>85.724999999999994</v>
      </c>
      <c r="AC89" s="239">
        <f t="shared" si="40"/>
        <v>57.15</v>
      </c>
      <c r="AD89" s="239">
        <f t="shared" si="40"/>
        <v>80</v>
      </c>
      <c r="AE89" s="239">
        <f t="shared" si="40"/>
        <v>10</v>
      </c>
      <c r="AF89" s="239">
        <f t="shared" si="40"/>
        <v>7</v>
      </c>
      <c r="AG89" s="239">
        <f t="shared" si="40"/>
        <v>13</v>
      </c>
    </row>
    <row r="90" spans="1:33">
      <c r="A90" s="239" t="s">
        <v>387</v>
      </c>
      <c r="T90" s="239" t="str">
        <f t="shared" si="31"/>
        <v>Air seeder - 28 ft.</v>
      </c>
      <c r="U90" s="239" t="str">
        <f>$A$107</f>
        <v>Air seeder</v>
      </c>
      <c r="V90" s="239" t="str">
        <f>A108</f>
        <v>28 ft.</v>
      </c>
      <c r="W90" s="239">
        <f t="shared" ref="W90:AG92" si="41">B108</f>
        <v>195192</v>
      </c>
      <c r="X90" s="239">
        <f t="shared" si="41"/>
        <v>6</v>
      </c>
      <c r="Y90" s="239">
        <f t="shared" si="41"/>
        <v>28</v>
      </c>
      <c r="Z90" s="239">
        <f t="shared" si="41"/>
        <v>0.7</v>
      </c>
      <c r="AA90" s="239">
        <f t="shared" si="41"/>
        <v>0.75</v>
      </c>
      <c r="AB90" s="239">
        <f t="shared" si="41"/>
        <v>85.65</v>
      </c>
      <c r="AC90" s="239">
        <f t="shared" si="41"/>
        <v>57.1</v>
      </c>
      <c r="AD90" s="239">
        <f t="shared" si="41"/>
        <v>125</v>
      </c>
      <c r="AE90" s="239">
        <f t="shared" si="41"/>
        <v>10</v>
      </c>
      <c r="AF90" s="239">
        <f t="shared" si="41"/>
        <v>12</v>
      </c>
      <c r="AG90" s="239">
        <f t="shared" si="41"/>
        <v>7</v>
      </c>
    </row>
    <row r="91" spans="1:33">
      <c r="A91" s="239" t="s">
        <v>388</v>
      </c>
      <c r="B91" s="239">
        <v>59679</v>
      </c>
      <c r="C91" s="239">
        <v>6</v>
      </c>
      <c r="D91" s="239">
        <v>30</v>
      </c>
      <c r="E91" s="239">
        <v>0.7</v>
      </c>
      <c r="F91" s="239">
        <v>0.75</v>
      </c>
      <c r="G91" s="239">
        <v>25</v>
      </c>
      <c r="H91" s="239">
        <v>35</v>
      </c>
      <c r="I91" s="239">
        <v>40</v>
      </c>
      <c r="J91" s="239">
        <v>10</v>
      </c>
      <c r="K91" s="239">
        <v>8</v>
      </c>
      <c r="L91" s="239">
        <v>7</v>
      </c>
      <c r="T91" s="239" t="str">
        <f t="shared" si="31"/>
        <v>Air seeder - 36 ft.</v>
      </c>
      <c r="U91" s="239" t="str">
        <f>$A$107</f>
        <v>Air seeder</v>
      </c>
      <c r="V91" s="239" t="str">
        <f>A109</f>
        <v>36 ft.</v>
      </c>
      <c r="W91" s="239">
        <f t="shared" si="41"/>
        <v>267957</v>
      </c>
      <c r="X91" s="239">
        <f t="shared" si="41"/>
        <v>6</v>
      </c>
      <c r="Y91" s="239">
        <f t="shared" si="41"/>
        <v>36</v>
      </c>
      <c r="Z91" s="239">
        <f t="shared" si="41"/>
        <v>0.7</v>
      </c>
      <c r="AA91" s="239">
        <f t="shared" si="41"/>
        <v>0.75</v>
      </c>
      <c r="AB91" s="239">
        <f t="shared" si="41"/>
        <v>85.65</v>
      </c>
      <c r="AC91" s="239">
        <f t="shared" si="41"/>
        <v>57.1</v>
      </c>
      <c r="AD91" s="239">
        <f t="shared" si="41"/>
        <v>125</v>
      </c>
      <c r="AE91" s="239">
        <f t="shared" si="41"/>
        <v>10</v>
      </c>
      <c r="AF91" s="239">
        <f t="shared" si="41"/>
        <v>12</v>
      </c>
      <c r="AG91" s="239">
        <f t="shared" si="41"/>
        <v>7</v>
      </c>
    </row>
    <row r="92" spans="1:33">
      <c r="A92" s="239" t="s">
        <v>389</v>
      </c>
      <c r="B92" s="239">
        <v>76191</v>
      </c>
      <c r="C92" s="239">
        <v>6</v>
      </c>
      <c r="D92" s="239">
        <v>40</v>
      </c>
      <c r="E92" s="239">
        <v>0.7</v>
      </c>
      <c r="F92" s="239">
        <v>0.75</v>
      </c>
      <c r="G92" s="239">
        <v>25</v>
      </c>
      <c r="H92" s="239">
        <v>35</v>
      </c>
      <c r="I92" s="239">
        <v>40</v>
      </c>
      <c r="J92" s="239">
        <v>10</v>
      </c>
      <c r="K92" s="239">
        <v>9</v>
      </c>
      <c r="L92" s="239">
        <v>7</v>
      </c>
      <c r="T92" s="239" t="str">
        <f t="shared" si="31"/>
        <v>Air seeder - 44 ft.</v>
      </c>
      <c r="U92" s="239" t="str">
        <f>$A$107</f>
        <v>Air seeder</v>
      </c>
      <c r="V92" s="239" t="str">
        <f>A110</f>
        <v>44 ft.</v>
      </c>
      <c r="W92" s="239">
        <f t="shared" si="41"/>
        <v>297761</v>
      </c>
      <c r="X92" s="239">
        <f t="shared" si="41"/>
        <v>6</v>
      </c>
      <c r="Y92" s="239">
        <f t="shared" si="41"/>
        <v>44</v>
      </c>
      <c r="Z92" s="239">
        <f t="shared" si="41"/>
        <v>0.7</v>
      </c>
      <c r="AA92" s="239">
        <f t="shared" si="41"/>
        <v>0.75</v>
      </c>
      <c r="AB92" s="239">
        <f t="shared" si="41"/>
        <v>85.64</v>
      </c>
      <c r="AC92" s="239">
        <f t="shared" si="41"/>
        <v>57.1</v>
      </c>
      <c r="AD92" s="239">
        <f t="shared" si="41"/>
        <v>125</v>
      </c>
      <c r="AE92" s="239">
        <f t="shared" si="41"/>
        <v>10</v>
      </c>
      <c r="AF92" s="239">
        <f t="shared" si="41"/>
        <v>13</v>
      </c>
      <c r="AG92" s="239">
        <f t="shared" si="41"/>
        <v>7</v>
      </c>
    </row>
    <row r="93" spans="1:33">
      <c r="A93" s="239" t="s">
        <v>390</v>
      </c>
      <c r="T93" s="239" t="str">
        <f t="shared" si="31"/>
        <v>Rotary hoe - 30 ft.</v>
      </c>
      <c r="U93" s="239" t="str">
        <f>$A$111</f>
        <v>Rotary hoe</v>
      </c>
      <c r="V93" s="239" t="str">
        <f>A112</f>
        <v>30 ft.</v>
      </c>
      <c r="W93" s="239">
        <f t="shared" ref="W93:AG93" si="42">B112</f>
        <v>15427</v>
      </c>
      <c r="X93" s="239">
        <f t="shared" si="42"/>
        <v>10</v>
      </c>
      <c r="Y93" s="239">
        <f t="shared" si="42"/>
        <v>30</v>
      </c>
      <c r="Z93" s="239">
        <f t="shared" si="42"/>
        <v>0.83</v>
      </c>
      <c r="AA93" s="239">
        <f t="shared" si="42"/>
        <v>0.75</v>
      </c>
      <c r="AB93" s="239">
        <f t="shared" si="42"/>
        <v>19.878</v>
      </c>
      <c r="AC93" s="239">
        <f t="shared" si="42"/>
        <v>13.252000000000001</v>
      </c>
      <c r="AD93" s="239">
        <f t="shared" si="42"/>
        <v>125</v>
      </c>
      <c r="AE93" s="239">
        <f t="shared" si="42"/>
        <v>10</v>
      </c>
      <c r="AF93" s="239">
        <f t="shared" si="42"/>
        <v>5</v>
      </c>
      <c r="AG93" s="239">
        <f t="shared" si="42"/>
        <v>9</v>
      </c>
    </row>
    <row r="94" spans="1:33">
      <c r="A94" s="239" t="s">
        <v>113</v>
      </c>
      <c r="B94" s="239">
        <v>66892</v>
      </c>
      <c r="C94" s="239">
        <v>6</v>
      </c>
      <c r="D94" s="239">
        <v>20</v>
      </c>
      <c r="E94" s="239">
        <v>0.7</v>
      </c>
      <c r="F94" s="239">
        <v>0.75</v>
      </c>
      <c r="G94" s="239">
        <v>60</v>
      </c>
      <c r="H94" s="239">
        <v>70</v>
      </c>
      <c r="I94" s="239">
        <v>100</v>
      </c>
      <c r="J94" s="239">
        <v>10</v>
      </c>
      <c r="K94" s="239">
        <v>5</v>
      </c>
      <c r="L94" s="239">
        <v>7</v>
      </c>
      <c r="T94" s="239" t="str">
        <f t="shared" si="31"/>
        <v>Rotary hoe - 41 ft.</v>
      </c>
      <c r="U94" s="239" t="str">
        <f>$A$111</f>
        <v>Rotary hoe</v>
      </c>
      <c r="V94" s="239" t="str">
        <f>A113</f>
        <v>41 ft.</v>
      </c>
      <c r="W94" s="239">
        <f t="shared" ref="W94:AG94" si="43">B113</f>
        <v>27865</v>
      </c>
      <c r="X94" s="239">
        <f t="shared" si="43"/>
        <v>10</v>
      </c>
      <c r="Y94" s="239">
        <f t="shared" si="43"/>
        <v>41</v>
      </c>
      <c r="Z94" s="239">
        <f t="shared" si="43"/>
        <v>0.83</v>
      </c>
      <c r="AA94" s="239">
        <f t="shared" si="43"/>
        <v>0.75</v>
      </c>
      <c r="AB94" s="239">
        <f t="shared" si="43"/>
        <v>19.878</v>
      </c>
      <c r="AC94" s="239">
        <f t="shared" si="43"/>
        <v>13.252000000000001</v>
      </c>
      <c r="AD94" s="239">
        <f t="shared" si="43"/>
        <v>125</v>
      </c>
      <c r="AE94" s="239">
        <f t="shared" si="43"/>
        <v>10</v>
      </c>
      <c r="AF94" s="239">
        <f t="shared" si="43"/>
        <v>9</v>
      </c>
      <c r="AG94" s="239">
        <f t="shared" si="43"/>
        <v>9</v>
      </c>
    </row>
    <row r="95" spans="1:33">
      <c r="A95" s="239" t="s">
        <v>114</v>
      </c>
      <c r="B95" s="239">
        <v>181225</v>
      </c>
      <c r="C95" s="239">
        <v>6</v>
      </c>
      <c r="D95" s="239">
        <v>30</v>
      </c>
      <c r="E95" s="239">
        <v>0.7</v>
      </c>
      <c r="F95" s="239">
        <v>0.75</v>
      </c>
      <c r="G95" s="239">
        <v>117.9</v>
      </c>
      <c r="H95" s="239">
        <v>70</v>
      </c>
      <c r="I95" s="239">
        <v>100</v>
      </c>
      <c r="J95" s="239">
        <v>10</v>
      </c>
      <c r="K95" s="239">
        <v>7</v>
      </c>
      <c r="L95" s="239">
        <v>7</v>
      </c>
      <c r="T95" s="239" t="str">
        <f t="shared" si="31"/>
        <v>Row-crop cultivator (30" rows) - 8-row</v>
      </c>
      <c r="U95" s="239" t="str">
        <f>$A$114</f>
        <v>Row-crop cultivator (30" rows)</v>
      </c>
      <c r="V95" s="239" t="str">
        <f>A115</f>
        <v>8-row</v>
      </c>
      <c r="W95" s="239">
        <f t="shared" ref="W95:AG97" si="44">B115</f>
        <v>33526</v>
      </c>
      <c r="X95" s="239">
        <f t="shared" si="44"/>
        <v>4.5</v>
      </c>
      <c r="Y95" s="239">
        <f t="shared" si="44"/>
        <v>20</v>
      </c>
      <c r="Z95" s="239">
        <f t="shared" si="44"/>
        <v>0.83</v>
      </c>
      <c r="AA95" s="239">
        <f t="shared" si="44"/>
        <v>0.5</v>
      </c>
      <c r="AB95" s="239">
        <f t="shared" si="44"/>
        <v>66.3</v>
      </c>
      <c r="AC95" s="239">
        <f t="shared" si="44"/>
        <v>44.2</v>
      </c>
      <c r="AD95" s="239">
        <f t="shared" si="44"/>
        <v>100</v>
      </c>
      <c r="AE95" s="239">
        <f t="shared" si="44"/>
        <v>10</v>
      </c>
      <c r="AF95" s="239">
        <f t="shared" si="44"/>
        <v>5</v>
      </c>
      <c r="AG95" s="239">
        <f t="shared" si="44"/>
        <v>8</v>
      </c>
    </row>
    <row r="96" spans="1:33">
      <c r="A96" s="239" t="s">
        <v>115</v>
      </c>
      <c r="B96" s="239">
        <v>199394</v>
      </c>
      <c r="C96" s="239">
        <v>6</v>
      </c>
      <c r="D96" s="239">
        <v>40</v>
      </c>
      <c r="E96" s="239">
        <v>0.7</v>
      </c>
      <c r="F96" s="239">
        <v>0.75</v>
      </c>
      <c r="G96" s="239">
        <v>117.9</v>
      </c>
      <c r="H96" s="239">
        <v>70</v>
      </c>
      <c r="I96" s="239">
        <v>100</v>
      </c>
      <c r="J96" s="239">
        <v>10</v>
      </c>
      <c r="K96" s="239">
        <v>9</v>
      </c>
      <c r="L96" s="239">
        <v>7</v>
      </c>
      <c r="T96" s="239" t="str">
        <f t="shared" si="31"/>
        <v>Row-crop cultivator (30" rows) - 12-row</v>
      </c>
      <c r="U96" s="239" t="str">
        <f>$A$114</f>
        <v>Row-crop cultivator (30" rows)</v>
      </c>
      <c r="V96" s="239" t="str">
        <f>A116</f>
        <v>12-row</v>
      </c>
      <c r="W96" s="239">
        <f t="shared" si="44"/>
        <v>60004</v>
      </c>
      <c r="X96" s="239">
        <f t="shared" si="44"/>
        <v>4.5</v>
      </c>
      <c r="Y96" s="239">
        <f t="shared" si="44"/>
        <v>30</v>
      </c>
      <c r="Z96" s="239">
        <f t="shared" si="44"/>
        <v>0.83</v>
      </c>
      <c r="AA96" s="239">
        <f t="shared" si="44"/>
        <v>0.5</v>
      </c>
      <c r="AB96" s="239">
        <f t="shared" si="44"/>
        <v>66.75</v>
      </c>
      <c r="AC96" s="239">
        <f t="shared" si="44"/>
        <v>44.5</v>
      </c>
      <c r="AD96" s="239">
        <f t="shared" si="44"/>
        <v>100</v>
      </c>
      <c r="AE96" s="239">
        <f t="shared" si="44"/>
        <v>10</v>
      </c>
      <c r="AF96" s="239">
        <f t="shared" si="44"/>
        <v>6</v>
      </c>
      <c r="AG96" s="239">
        <f t="shared" si="44"/>
        <v>8</v>
      </c>
    </row>
    <row r="97" spans="1:33">
      <c r="A97" s="239" t="s">
        <v>116</v>
      </c>
      <c r="B97" s="239">
        <v>287230</v>
      </c>
      <c r="C97" s="239">
        <v>6</v>
      </c>
      <c r="D97" s="239">
        <v>60</v>
      </c>
      <c r="E97" s="239">
        <v>0.7</v>
      </c>
      <c r="F97" s="239">
        <v>0.75</v>
      </c>
      <c r="G97" s="239">
        <v>117.9</v>
      </c>
      <c r="H97" s="239">
        <v>70</v>
      </c>
      <c r="I97" s="239">
        <v>100</v>
      </c>
      <c r="J97" s="239">
        <v>10</v>
      </c>
      <c r="K97" s="239">
        <v>11</v>
      </c>
      <c r="L97" s="239">
        <v>7</v>
      </c>
      <c r="T97" s="239" t="str">
        <f t="shared" si="31"/>
        <v>Row-crop cultivator (30" rows) - 16-row</v>
      </c>
      <c r="U97" s="239" t="str">
        <f>$A$114</f>
        <v>Row-crop cultivator (30" rows)</v>
      </c>
      <c r="V97" s="239" t="str">
        <f>A117</f>
        <v>16-row</v>
      </c>
      <c r="W97" s="239">
        <f t="shared" si="44"/>
        <v>76787</v>
      </c>
      <c r="X97" s="239">
        <f t="shared" si="44"/>
        <v>4.5</v>
      </c>
      <c r="Y97" s="239">
        <f t="shared" si="44"/>
        <v>40</v>
      </c>
      <c r="Z97" s="239">
        <f t="shared" si="44"/>
        <v>0.83</v>
      </c>
      <c r="AA97" s="239">
        <f t="shared" si="44"/>
        <v>0.5</v>
      </c>
      <c r="AB97" s="239">
        <f t="shared" si="44"/>
        <v>66.75</v>
      </c>
      <c r="AC97" s="239">
        <f t="shared" si="44"/>
        <v>44.5</v>
      </c>
      <c r="AD97" s="239">
        <f t="shared" si="44"/>
        <v>100</v>
      </c>
      <c r="AE97" s="239">
        <f t="shared" si="44"/>
        <v>10</v>
      </c>
      <c r="AF97" s="239">
        <f t="shared" si="44"/>
        <v>9</v>
      </c>
      <c r="AG97" s="239">
        <f t="shared" si="44"/>
        <v>8</v>
      </c>
    </row>
    <row r="98" spans="1:33">
      <c r="A98" s="239" t="s">
        <v>289</v>
      </c>
      <c r="T98" s="239" t="str">
        <f t="shared" si="31"/>
        <v>Self-propelled sprayer (High-crop ready) - 80 ft boom</v>
      </c>
      <c r="U98" s="239" t="str">
        <f>$A$118</f>
        <v>Self-propelled sprayer (High-crop ready)</v>
      </c>
      <c r="V98" s="239" t="str">
        <f>A119</f>
        <v>80 ft boom</v>
      </c>
      <c r="W98" s="239">
        <f t="shared" ref="W98:AG100" si="45">B119</f>
        <v>324149</v>
      </c>
      <c r="X98" s="239">
        <f t="shared" si="45"/>
        <v>9.5</v>
      </c>
      <c r="Y98" s="239">
        <f t="shared" si="45"/>
        <v>80</v>
      </c>
      <c r="Z98" s="239">
        <f t="shared" si="45"/>
        <v>0.7</v>
      </c>
      <c r="AA98" s="239">
        <f t="shared" si="45"/>
        <v>0.5</v>
      </c>
      <c r="AB98" s="239">
        <f t="shared" si="45"/>
        <v>83</v>
      </c>
      <c r="AC98" s="239">
        <f t="shared" si="45"/>
        <v>83</v>
      </c>
      <c r="AD98" s="239">
        <f t="shared" si="45"/>
        <v>83</v>
      </c>
      <c r="AE98" s="239">
        <f t="shared" si="45"/>
        <v>10</v>
      </c>
      <c r="AF98" s="239">
        <f t="shared" si="45"/>
        <v>1</v>
      </c>
      <c r="AG98" s="239">
        <f t="shared" si="45"/>
        <v>1</v>
      </c>
    </row>
    <row r="99" spans="1:33">
      <c r="A99" s="239" t="s">
        <v>391</v>
      </c>
      <c r="B99" s="239">
        <v>27529</v>
      </c>
      <c r="C99" s="239">
        <v>5.5</v>
      </c>
      <c r="D99" s="239">
        <v>13</v>
      </c>
      <c r="E99" s="239">
        <v>0.7</v>
      </c>
      <c r="F99" s="239">
        <v>0.75</v>
      </c>
      <c r="G99" s="239">
        <v>85.65</v>
      </c>
      <c r="H99" s="239">
        <v>57.1</v>
      </c>
      <c r="I99" s="239">
        <v>125</v>
      </c>
      <c r="J99" s="239">
        <v>10</v>
      </c>
      <c r="K99" s="239">
        <v>3</v>
      </c>
      <c r="L99" s="239">
        <v>13</v>
      </c>
      <c r="T99" s="239" t="str">
        <f t="shared" si="31"/>
        <v>Self-propelled sprayer (High-crop ready) - 90 ft boom</v>
      </c>
      <c r="U99" s="239" t="str">
        <f>$A$118</f>
        <v>Self-propelled sprayer (High-crop ready)</v>
      </c>
      <c r="V99" s="239" t="str">
        <f>A120</f>
        <v>90 ft boom</v>
      </c>
      <c r="W99" s="239">
        <f t="shared" si="45"/>
        <v>488564</v>
      </c>
      <c r="X99" s="239">
        <f t="shared" si="45"/>
        <v>9.5</v>
      </c>
      <c r="Y99" s="239">
        <f t="shared" si="45"/>
        <v>90</v>
      </c>
      <c r="Z99" s="239">
        <f t="shared" si="45"/>
        <v>0.7</v>
      </c>
      <c r="AA99" s="239">
        <f t="shared" si="45"/>
        <v>0.5</v>
      </c>
      <c r="AB99" s="239">
        <f t="shared" si="45"/>
        <v>83</v>
      </c>
      <c r="AC99" s="239">
        <f t="shared" si="45"/>
        <v>83</v>
      </c>
      <c r="AD99" s="239">
        <f t="shared" si="45"/>
        <v>83</v>
      </c>
      <c r="AE99" s="239">
        <f t="shared" si="45"/>
        <v>10</v>
      </c>
      <c r="AF99" s="239">
        <f t="shared" si="45"/>
        <v>1</v>
      </c>
      <c r="AG99" s="239">
        <f t="shared" si="45"/>
        <v>1</v>
      </c>
    </row>
    <row r="100" spans="1:33">
      <c r="A100" s="239" t="s">
        <v>392</v>
      </c>
      <c r="B100" s="239">
        <v>60775</v>
      </c>
      <c r="C100" s="239">
        <v>5.5</v>
      </c>
      <c r="D100" s="239">
        <v>25</v>
      </c>
      <c r="E100" s="239">
        <v>0.7</v>
      </c>
      <c r="F100" s="239">
        <v>0.75</v>
      </c>
      <c r="G100" s="239">
        <v>60</v>
      </c>
      <c r="H100" s="239">
        <v>57.1</v>
      </c>
      <c r="I100" s="239">
        <v>125</v>
      </c>
      <c r="J100" s="239">
        <v>10</v>
      </c>
      <c r="K100" s="239">
        <v>5</v>
      </c>
      <c r="L100" s="239">
        <v>13</v>
      </c>
      <c r="T100" s="239" t="str">
        <f t="shared" si="31"/>
        <v>Self-propelled sprayer (High-crop ready) - 100 ft boom</v>
      </c>
      <c r="U100" s="239" t="str">
        <f>$A$118</f>
        <v>Self-propelled sprayer (High-crop ready)</v>
      </c>
      <c r="V100" s="239" t="str">
        <f>A121</f>
        <v>100 ft boom</v>
      </c>
      <c r="W100" s="239">
        <f t="shared" si="45"/>
        <v>491379</v>
      </c>
      <c r="X100" s="239">
        <f t="shared" si="45"/>
        <v>9.5</v>
      </c>
      <c r="Y100" s="239">
        <f t="shared" si="45"/>
        <v>100</v>
      </c>
      <c r="Z100" s="239">
        <f t="shared" si="45"/>
        <v>0.7</v>
      </c>
      <c r="AA100" s="239">
        <f t="shared" si="45"/>
        <v>0.5</v>
      </c>
      <c r="AB100" s="239">
        <f t="shared" si="45"/>
        <v>83</v>
      </c>
      <c r="AC100" s="239">
        <f t="shared" si="45"/>
        <v>83</v>
      </c>
      <c r="AD100" s="239">
        <f t="shared" si="45"/>
        <v>83</v>
      </c>
      <c r="AE100" s="239">
        <f t="shared" si="45"/>
        <v>10</v>
      </c>
      <c r="AF100" s="239">
        <f t="shared" si="45"/>
        <v>1</v>
      </c>
      <c r="AG100" s="239">
        <f t="shared" si="45"/>
        <v>1</v>
      </c>
    </row>
    <row r="101" spans="1:33">
      <c r="A101" s="239" t="s">
        <v>340</v>
      </c>
      <c r="B101" s="239">
        <v>77255</v>
      </c>
      <c r="C101" s="239">
        <v>5.5</v>
      </c>
      <c r="D101" s="239">
        <v>30</v>
      </c>
      <c r="E101" s="239">
        <v>0.7</v>
      </c>
      <c r="F101" s="239">
        <v>0.75</v>
      </c>
      <c r="G101" s="239">
        <v>60</v>
      </c>
      <c r="H101" s="239">
        <v>57.1</v>
      </c>
      <c r="I101" s="239">
        <v>125</v>
      </c>
      <c r="J101" s="239">
        <v>10</v>
      </c>
      <c r="K101" s="239">
        <v>7</v>
      </c>
      <c r="L101" s="239">
        <v>13</v>
      </c>
      <c r="T101" s="239" t="str">
        <f t="shared" si="31"/>
        <v>Self-propelled sprayer  - 120 ft boom</v>
      </c>
      <c r="U101" s="239" t="str">
        <f>$A$122</f>
        <v xml:space="preserve">Self-propelled sprayer </v>
      </c>
      <c r="V101" s="239" t="str">
        <f>A123</f>
        <v>120 ft boom</v>
      </c>
      <c r="W101" s="239">
        <f t="shared" ref="W101:AG101" si="46">B123</f>
        <v>526251</v>
      </c>
      <c r="X101" s="239">
        <f t="shared" si="46"/>
        <v>9.5</v>
      </c>
      <c r="Y101" s="239">
        <f t="shared" si="46"/>
        <v>120</v>
      </c>
      <c r="Z101" s="239">
        <f t="shared" si="46"/>
        <v>0.7</v>
      </c>
      <c r="AA101" s="239">
        <f t="shared" si="46"/>
        <v>0.5</v>
      </c>
      <c r="AB101" s="239">
        <f t="shared" si="46"/>
        <v>83</v>
      </c>
      <c r="AC101" s="239">
        <f t="shared" si="46"/>
        <v>83</v>
      </c>
      <c r="AD101" s="239">
        <f t="shared" si="46"/>
        <v>83</v>
      </c>
      <c r="AE101" s="239">
        <f t="shared" si="46"/>
        <v>10</v>
      </c>
      <c r="AF101" s="239">
        <f t="shared" si="46"/>
        <v>1</v>
      </c>
      <c r="AG101" s="239">
        <f t="shared" si="46"/>
        <v>1</v>
      </c>
    </row>
    <row r="102" spans="1:33">
      <c r="A102" s="239" t="s">
        <v>341</v>
      </c>
      <c r="B102" s="239">
        <v>92035</v>
      </c>
      <c r="C102" s="239">
        <v>5.5</v>
      </c>
      <c r="D102" s="239">
        <v>35</v>
      </c>
      <c r="E102" s="239">
        <v>0.7</v>
      </c>
      <c r="F102" s="239">
        <v>0.75</v>
      </c>
      <c r="G102" s="239">
        <v>60</v>
      </c>
      <c r="H102" s="239">
        <v>57.1</v>
      </c>
      <c r="I102" s="239">
        <v>125</v>
      </c>
      <c r="J102" s="239">
        <v>10</v>
      </c>
      <c r="K102" s="239">
        <v>9</v>
      </c>
      <c r="L102" s="239">
        <v>13</v>
      </c>
      <c r="T102" s="239" t="str">
        <f t="shared" si="31"/>
        <v>Field Sprayer - 90 ft.</v>
      </c>
      <c r="U102" s="239" t="str">
        <f>$A$124</f>
        <v>Field Sprayer</v>
      </c>
      <c r="V102" s="239" t="str">
        <f>A125</f>
        <v>90 ft.</v>
      </c>
      <c r="W102" s="239">
        <f t="shared" ref="W102:AG102" si="47">B125</f>
        <v>71250</v>
      </c>
      <c r="X102" s="239">
        <f t="shared" si="47"/>
        <v>7</v>
      </c>
      <c r="Y102" s="239">
        <f t="shared" si="47"/>
        <v>90</v>
      </c>
      <c r="Z102" s="239">
        <f t="shared" si="47"/>
        <v>0.65</v>
      </c>
      <c r="AA102" s="239">
        <f t="shared" si="47"/>
        <v>0.4</v>
      </c>
      <c r="AB102" s="239">
        <f t="shared" si="47"/>
        <v>81.599999999999994</v>
      </c>
      <c r="AC102" s="239">
        <f t="shared" si="47"/>
        <v>40</v>
      </c>
      <c r="AD102" s="239">
        <f t="shared" si="47"/>
        <v>80</v>
      </c>
      <c r="AE102" s="239">
        <f t="shared" si="47"/>
        <v>10</v>
      </c>
      <c r="AF102" s="239">
        <f t="shared" si="47"/>
        <v>2</v>
      </c>
      <c r="AG102" s="239">
        <f t="shared" si="47"/>
        <v>12</v>
      </c>
    </row>
    <row r="103" spans="1:33">
      <c r="A103" s="239" t="s">
        <v>290</v>
      </c>
      <c r="T103" s="239" t="str">
        <f t="shared" si="31"/>
        <v>Anhydrous ammonia applicator - 27 ft. 6 in.</v>
      </c>
      <c r="U103" s="239" t="str">
        <f>$A$126</f>
        <v>Anhydrous ammonia applicator</v>
      </c>
      <c r="V103" s="239" t="str">
        <f>A127</f>
        <v>27 ft. 6 in.</v>
      </c>
      <c r="W103" s="239">
        <f t="shared" ref="W103:AG105" si="48">B127</f>
        <v>108719</v>
      </c>
      <c r="X103" s="239">
        <f t="shared" si="48"/>
        <v>5</v>
      </c>
      <c r="Y103" s="239">
        <f t="shared" si="48"/>
        <v>27.5</v>
      </c>
      <c r="Z103" s="239">
        <f t="shared" si="48"/>
        <v>0.8</v>
      </c>
      <c r="AA103" s="239">
        <f t="shared" si="48"/>
        <v>0.75</v>
      </c>
      <c r="AB103" s="239">
        <f t="shared" si="48"/>
        <v>61.8</v>
      </c>
      <c r="AC103" s="239">
        <f t="shared" si="48"/>
        <v>70</v>
      </c>
      <c r="AD103" s="239">
        <f t="shared" si="48"/>
        <v>125</v>
      </c>
      <c r="AE103" s="239">
        <f t="shared" si="48"/>
        <v>10</v>
      </c>
      <c r="AF103" s="239">
        <f t="shared" si="48"/>
        <v>7</v>
      </c>
      <c r="AG103" s="239">
        <f t="shared" si="48"/>
        <v>10</v>
      </c>
    </row>
    <row r="104" spans="1:33">
      <c r="A104" s="239" t="s">
        <v>393</v>
      </c>
      <c r="B104" s="239">
        <v>60899</v>
      </c>
      <c r="C104" s="239">
        <v>5.5</v>
      </c>
      <c r="D104" s="239">
        <v>10</v>
      </c>
      <c r="E104" s="239">
        <v>0.7</v>
      </c>
      <c r="F104" s="239">
        <v>0.75</v>
      </c>
      <c r="G104" s="239">
        <v>85.724999999999994</v>
      </c>
      <c r="H104" s="239">
        <v>57.15</v>
      </c>
      <c r="I104" s="239">
        <v>80</v>
      </c>
      <c r="J104" s="239">
        <v>10</v>
      </c>
      <c r="K104" s="239">
        <v>3</v>
      </c>
      <c r="L104" s="239">
        <v>13</v>
      </c>
      <c r="T104" s="239" t="str">
        <f t="shared" si="31"/>
        <v>Anhydrous ammonia applicator - 37 ft. 6 in.</v>
      </c>
      <c r="U104" s="239" t="str">
        <f>$A$126</f>
        <v>Anhydrous ammonia applicator</v>
      </c>
      <c r="V104" s="239" t="str">
        <f>A128</f>
        <v>37 ft. 6 in.</v>
      </c>
      <c r="W104" s="239">
        <f t="shared" si="48"/>
        <v>136510</v>
      </c>
      <c r="X104" s="239">
        <f t="shared" si="48"/>
        <v>5</v>
      </c>
      <c r="Y104" s="239">
        <f t="shared" si="48"/>
        <v>37.5</v>
      </c>
      <c r="Z104" s="239">
        <f t="shared" si="48"/>
        <v>0.8</v>
      </c>
      <c r="AA104" s="239">
        <f t="shared" si="48"/>
        <v>0.75</v>
      </c>
      <c r="AB104" s="239">
        <f t="shared" si="48"/>
        <v>61.8</v>
      </c>
      <c r="AC104" s="239">
        <f t="shared" si="48"/>
        <v>70</v>
      </c>
      <c r="AD104" s="239">
        <f t="shared" si="48"/>
        <v>125</v>
      </c>
      <c r="AE104" s="239">
        <f t="shared" si="48"/>
        <v>10</v>
      </c>
      <c r="AF104" s="239">
        <f t="shared" si="48"/>
        <v>10</v>
      </c>
      <c r="AG104" s="239">
        <f t="shared" si="48"/>
        <v>10</v>
      </c>
    </row>
    <row r="105" spans="1:33">
      <c r="A105" s="239" t="s">
        <v>50</v>
      </c>
      <c r="B105" s="239">
        <v>70246</v>
      </c>
      <c r="C105" s="239">
        <v>5.5</v>
      </c>
      <c r="D105" s="239">
        <v>15</v>
      </c>
      <c r="E105" s="239">
        <v>0.7</v>
      </c>
      <c r="F105" s="239">
        <v>0.75</v>
      </c>
      <c r="G105" s="239">
        <v>85.724999999999994</v>
      </c>
      <c r="H105" s="239">
        <v>57.15</v>
      </c>
      <c r="I105" s="239">
        <v>80</v>
      </c>
      <c r="J105" s="239">
        <v>10</v>
      </c>
      <c r="K105" s="239">
        <v>5</v>
      </c>
      <c r="L105" s="239">
        <v>13</v>
      </c>
      <c r="T105" s="239" t="str">
        <f t="shared" si="31"/>
        <v>Anhydrous ammonia applicator - 47 ft. 6 in.</v>
      </c>
      <c r="U105" s="239" t="str">
        <f>$A$126</f>
        <v>Anhydrous ammonia applicator</v>
      </c>
      <c r="V105" s="239" t="str">
        <f>A129</f>
        <v>47 ft. 6 in.</v>
      </c>
      <c r="W105" s="239">
        <f t="shared" si="48"/>
        <v>132781</v>
      </c>
      <c r="X105" s="239">
        <f t="shared" si="48"/>
        <v>5</v>
      </c>
      <c r="Y105" s="239">
        <f t="shared" si="48"/>
        <v>47.5</v>
      </c>
      <c r="Z105" s="239">
        <f t="shared" si="48"/>
        <v>0.8</v>
      </c>
      <c r="AA105" s="239">
        <f t="shared" si="48"/>
        <v>0.75</v>
      </c>
      <c r="AB105" s="239">
        <f t="shared" si="48"/>
        <v>61.8</v>
      </c>
      <c r="AC105" s="239">
        <f t="shared" si="48"/>
        <v>70</v>
      </c>
      <c r="AD105" s="239">
        <f t="shared" si="48"/>
        <v>125</v>
      </c>
      <c r="AE105" s="239">
        <f t="shared" si="48"/>
        <v>10</v>
      </c>
      <c r="AF105" s="239">
        <f t="shared" si="48"/>
        <v>12</v>
      </c>
      <c r="AG105" s="239">
        <f t="shared" si="48"/>
        <v>10</v>
      </c>
    </row>
    <row r="106" spans="1:33">
      <c r="A106" s="239" t="s">
        <v>386</v>
      </c>
      <c r="B106" s="239">
        <v>103565</v>
      </c>
      <c r="C106" s="239">
        <v>5.5</v>
      </c>
      <c r="D106" s="239">
        <v>20</v>
      </c>
      <c r="E106" s="239">
        <v>0.7</v>
      </c>
      <c r="F106" s="239">
        <v>0.75</v>
      </c>
      <c r="G106" s="239">
        <v>85.724999999999994</v>
      </c>
      <c r="H106" s="239">
        <v>57.15</v>
      </c>
      <c r="I106" s="239">
        <v>80</v>
      </c>
      <c r="J106" s="239">
        <v>10</v>
      </c>
      <c r="K106" s="239">
        <v>7</v>
      </c>
      <c r="L106" s="239">
        <v>13</v>
      </c>
      <c r="T106" s="239" t="str">
        <f t="shared" si="31"/>
        <v>Anhydrous ammonia applicator - 62 ft. 6 in.</v>
      </c>
      <c r="U106" s="239" t="str">
        <f>$A$126</f>
        <v>Anhydrous ammonia applicator</v>
      </c>
      <c r="V106" s="239" t="str">
        <f t="shared" ref="V106:AG106" si="49">A130</f>
        <v>62 ft. 6 in.</v>
      </c>
      <c r="W106" s="239">
        <f t="shared" si="49"/>
        <v>156437</v>
      </c>
      <c r="X106" s="239">
        <f t="shared" si="49"/>
        <v>5</v>
      </c>
      <c r="Y106" s="239">
        <f t="shared" si="49"/>
        <v>62.5</v>
      </c>
      <c r="Z106" s="239">
        <f t="shared" si="49"/>
        <v>0.8</v>
      </c>
      <c r="AA106" s="239">
        <f t="shared" si="49"/>
        <v>0.75</v>
      </c>
      <c r="AB106" s="239">
        <f t="shared" si="49"/>
        <v>61.8</v>
      </c>
      <c r="AC106" s="239">
        <f t="shared" si="49"/>
        <v>70</v>
      </c>
      <c r="AD106" s="239">
        <f t="shared" si="49"/>
        <v>125</v>
      </c>
      <c r="AE106" s="239">
        <f t="shared" si="49"/>
        <v>10</v>
      </c>
      <c r="AF106" s="239">
        <f t="shared" si="49"/>
        <v>16</v>
      </c>
      <c r="AG106" s="239">
        <f t="shared" si="49"/>
        <v>10</v>
      </c>
    </row>
    <row r="107" spans="1:33">
      <c r="A107" s="239" t="s">
        <v>291</v>
      </c>
      <c r="T107" s="239" t="str">
        <f t="shared" si="31"/>
        <v>Liquid Fertilizer Applicator - 40 ft.</v>
      </c>
      <c r="U107" s="239" t="str">
        <f>$A$131</f>
        <v>Liquid Fertilizer Applicator</v>
      </c>
      <c r="V107" s="239" t="str">
        <f>A132</f>
        <v>40 ft.</v>
      </c>
      <c r="W107" s="239">
        <f t="shared" ref="W107:AG107" si="50">B132</f>
        <v>68250</v>
      </c>
      <c r="X107" s="239">
        <f t="shared" si="50"/>
        <v>8</v>
      </c>
      <c r="Y107" s="239">
        <f t="shared" si="50"/>
        <v>40</v>
      </c>
      <c r="Z107" s="239">
        <f t="shared" si="50"/>
        <v>0.8</v>
      </c>
      <c r="AA107" s="239">
        <f t="shared" si="50"/>
        <v>0.75</v>
      </c>
      <c r="AB107" s="239">
        <f t="shared" si="50"/>
        <v>61.8</v>
      </c>
      <c r="AC107" s="239">
        <f t="shared" si="50"/>
        <v>70</v>
      </c>
      <c r="AD107" s="239">
        <f t="shared" si="50"/>
        <v>75</v>
      </c>
      <c r="AE107" s="239">
        <f t="shared" si="50"/>
        <v>10</v>
      </c>
      <c r="AF107" s="239">
        <f t="shared" si="50"/>
        <v>8</v>
      </c>
      <c r="AG107" s="239">
        <f t="shared" si="50"/>
        <v>10</v>
      </c>
    </row>
    <row r="108" spans="1:33">
      <c r="A108" s="239" t="s">
        <v>111</v>
      </c>
      <c r="B108" s="239">
        <v>195192</v>
      </c>
      <c r="C108" s="239">
        <v>6</v>
      </c>
      <c r="D108" s="239">
        <v>28</v>
      </c>
      <c r="E108" s="239">
        <v>0.7</v>
      </c>
      <c r="F108" s="239">
        <v>0.75</v>
      </c>
      <c r="G108" s="239">
        <v>85.65</v>
      </c>
      <c r="H108" s="239">
        <v>57.1</v>
      </c>
      <c r="I108" s="239">
        <v>125</v>
      </c>
      <c r="J108" s="239">
        <v>10</v>
      </c>
      <c r="K108" s="239">
        <v>12</v>
      </c>
      <c r="L108" s="239">
        <v>7</v>
      </c>
      <c r="T108" s="239" t="str">
        <f t="shared" si="31"/>
        <v xml:space="preserve">Liquid Fertilizer Applicator - 60 ft. </v>
      </c>
      <c r="U108" s="239" t="str">
        <f>$A$131</f>
        <v>Liquid Fertilizer Applicator</v>
      </c>
      <c r="V108" s="239" t="str">
        <f>A133</f>
        <v xml:space="preserve">60 ft. </v>
      </c>
      <c r="W108" s="239">
        <f t="shared" ref="W108:AG108" si="51">B133</f>
        <v>93000</v>
      </c>
      <c r="X108" s="239">
        <f t="shared" si="51"/>
        <v>8</v>
      </c>
      <c r="Y108" s="239">
        <f t="shared" si="51"/>
        <v>60</v>
      </c>
      <c r="Z108" s="239">
        <f t="shared" si="51"/>
        <v>0.8</v>
      </c>
      <c r="AA108" s="239">
        <f t="shared" si="51"/>
        <v>0.75</v>
      </c>
      <c r="AB108" s="239">
        <f t="shared" si="51"/>
        <v>61.8</v>
      </c>
      <c r="AC108" s="239">
        <f t="shared" si="51"/>
        <v>70</v>
      </c>
      <c r="AD108" s="239">
        <f t="shared" si="51"/>
        <v>75</v>
      </c>
      <c r="AE108" s="239">
        <f t="shared" si="51"/>
        <v>10</v>
      </c>
      <c r="AF108" s="239">
        <f t="shared" si="51"/>
        <v>11</v>
      </c>
      <c r="AG108" s="239">
        <f t="shared" si="51"/>
        <v>10</v>
      </c>
    </row>
    <row r="109" spans="1:33">
      <c r="A109" s="239" t="s">
        <v>201</v>
      </c>
      <c r="B109" s="239">
        <v>267957</v>
      </c>
      <c r="C109" s="239">
        <v>6</v>
      </c>
      <c r="D109" s="239">
        <v>36</v>
      </c>
      <c r="E109" s="239">
        <v>0.7</v>
      </c>
      <c r="F109" s="239">
        <v>0.75</v>
      </c>
      <c r="G109" s="239">
        <v>85.65</v>
      </c>
      <c r="H109" s="239">
        <v>57.1</v>
      </c>
      <c r="I109" s="239">
        <v>125</v>
      </c>
      <c r="J109" s="239">
        <v>10</v>
      </c>
      <c r="K109" s="239">
        <v>12</v>
      </c>
      <c r="L109" s="239">
        <v>7</v>
      </c>
      <c r="T109" s="239" t="str">
        <f t="shared" si="31"/>
        <v>Field and ditch mowing - 15 ft</v>
      </c>
      <c r="U109" s="239" t="str">
        <f>$A$134</f>
        <v>Field and ditch mowing</v>
      </c>
      <c r="V109" s="239" t="str">
        <f>A135</f>
        <v>15 ft</v>
      </c>
      <c r="W109" s="239">
        <f t="shared" ref="W109:AG109" si="52">B135</f>
        <v>31038</v>
      </c>
      <c r="X109" s="239">
        <f t="shared" si="52"/>
        <v>4</v>
      </c>
      <c r="Y109" s="239">
        <f t="shared" si="52"/>
        <v>15</v>
      </c>
      <c r="Z109" s="239">
        <f t="shared" si="52"/>
        <v>0.8</v>
      </c>
      <c r="AA109" s="239">
        <f t="shared" si="52"/>
        <v>0.75</v>
      </c>
      <c r="AB109" s="239">
        <f t="shared" si="52"/>
        <v>61.8</v>
      </c>
      <c r="AC109" s="239">
        <f t="shared" si="52"/>
        <v>50</v>
      </c>
      <c r="AD109" s="239">
        <f t="shared" si="52"/>
        <v>75</v>
      </c>
      <c r="AE109" s="239">
        <f t="shared" si="52"/>
        <v>10</v>
      </c>
      <c r="AF109" s="239">
        <f t="shared" si="52"/>
        <v>5</v>
      </c>
      <c r="AG109" s="239">
        <f t="shared" si="52"/>
        <v>18</v>
      </c>
    </row>
    <row r="110" spans="1:33">
      <c r="A110" s="239" t="s">
        <v>312</v>
      </c>
      <c r="B110" s="239">
        <v>297761</v>
      </c>
      <c r="C110" s="239">
        <v>6</v>
      </c>
      <c r="D110" s="239">
        <v>44</v>
      </c>
      <c r="E110" s="239">
        <v>0.7</v>
      </c>
      <c r="F110" s="239">
        <v>0.75</v>
      </c>
      <c r="G110" s="239">
        <v>85.64</v>
      </c>
      <c r="H110" s="239">
        <v>57.1</v>
      </c>
      <c r="I110" s="239">
        <v>125</v>
      </c>
      <c r="J110" s="239">
        <v>10</v>
      </c>
      <c r="K110" s="239">
        <v>13</v>
      </c>
      <c r="L110" s="239">
        <v>7</v>
      </c>
      <c r="T110" s="239" t="str">
        <f t="shared" si="31"/>
        <v>Field and ditch mowing - 20 ft.</v>
      </c>
      <c r="U110" s="239" t="str">
        <f>$A$134</f>
        <v>Field and ditch mowing</v>
      </c>
      <c r="V110" s="239" t="str">
        <f>A136</f>
        <v>20 ft.</v>
      </c>
      <c r="W110" s="239">
        <f t="shared" ref="W110:AG110" si="53">B136</f>
        <v>40913</v>
      </c>
      <c r="X110" s="239">
        <f t="shared" si="53"/>
        <v>4</v>
      </c>
      <c r="Y110" s="239">
        <f t="shared" si="53"/>
        <v>20</v>
      </c>
      <c r="Z110" s="239">
        <f t="shared" si="53"/>
        <v>0.8</v>
      </c>
      <c r="AA110" s="239">
        <f t="shared" si="53"/>
        <v>0.75</v>
      </c>
      <c r="AB110" s="239">
        <f t="shared" si="53"/>
        <v>61.8</v>
      </c>
      <c r="AC110" s="239">
        <f t="shared" si="53"/>
        <v>50</v>
      </c>
      <c r="AD110" s="239">
        <f t="shared" si="53"/>
        <v>75</v>
      </c>
      <c r="AE110" s="239">
        <f t="shared" si="53"/>
        <v>10</v>
      </c>
      <c r="AF110" s="239">
        <f t="shared" si="53"/>
        <v>5</v>
      </c>
      <c r="AG110" s="239">
        <f t="shared" si="53"/>
        <v>18</v>
      </c>
    </row>
    <row r="111" spans="1:33">
      <c r="A111" s="239" t="s">
        <v>292</v>
      </c>
      <c r="T111" s="239" t="str">
        <f t="shared" si="31"/>
        <v>Combination Ripper - 14 ft</v>
      </c>
      <c r="U111" s="239" t="str">
        <f>$A$137</f>
        <v>Combination Ripper</v>
      </c>
      <c r="V111" s="239" t="str">
        <f>A138</f>
        <v>14 ft</v>
      </c>
      <c r="W111" s="239">
        <f t="shared" ref="W111:AG115" si="54">B138</f>
        <v>109227</v>
      </c>
      <c r="X111" s="239">
        <f t="shared" si="54"/>
        <v>7</v>
      </c>
      <c r="Y111" s="239">
        <f t="shared" si="54"/>
        <v>14</v>
      </c>
      <c r="Z111" s="239">
        <f t="shared" si="54"/>
        <v>0.82499999999999996</v>
      </c>
      <c r="AA111" s="239">
        <f t="shared" si="54"/>
        <v>0.85</v>
      </c>
      <c r="AB111" s="239">
        <f t="shared" si="54"/>
        <v>90</v>
      </c>
      <c r="AC111" s="239">
        <f t="shared" si="54"/>
        <v>70</v>
      </c>
      <c r="AD111" s="239">
        <f t="shared" si="54"/>
        <v>125</v>
      </c>
      <c r="AE111" s="239">
        <f t="shared" si="54"/>
        <v>10</v>
      </c>
      <c r="AF111" s="239">
        <f t="shared" si="54"/>
        <v>13</v>
      </c>
      <c r="AG111" s="239">
        <f t="shared" si="54"/>
        <v>14</v>
      </c>
    </row>
    <row r="112" spans="1:33">
      <c r="A112" s="239" t="s">
        <v>340</v>
      </c>
      <c r="B112" s="239">
        <v>15427</v>
      </c>
      <c r="C112" s="239">
        <v>10</v>
      </c>
      <c r="D112" s="239">
        <v>30</v>
      </c>
      <c r="E112" s="239">
        <v>0.83</v>
      </c>
      <c r="F112" s="239">
        <v>0.75</v>
      </c>
      <c r="G112" s="239">
        <v>19.878</v>
      </c>
      <c r="H112" s="239">
        <v>13.252000000000001</v>
      </c>
      <c r="I112" s="239">
        <v>125</v>
      </c>
      <c r="J112" s="239">
        <v>10</v>
      </c>
      <c r="K112" s="239">
        <v>5</v>
      </c>
      <c r="L112" s="239">
        <v>9</v>
      </c>
      <c r="T112" s="239" t="str">
        <f t="shared" si="31"/>
        <v>Combination Ripper - 18 ft rigid</v>
      </c>
      <c r="U112" s="239" t="str">
        <f>$A$137</f>
        <v>Combination Ripper</v>
      </c>
      <c r="V112" s="239" t="str">
        <f>A139</f>
        <v>18 ft rigid</v>
      </c>
      <c r="W112" s="239">
        <f t="shared" si="54"/>
        <v>133032</v>
      </c>
      <c r="X112" s="239">
        <f t="shared" si="54"/>
        <v>7</v>
      </c>
      <c r="Y112" s="239">
        <f t="shared" si="54"/>
        <v>18</v>
      </c>
      <c r="Z112" s="239">
        <f t="shared" si="54"/>
        <v>0.82499999999999996</v>
      </c>
      <c r="AA112" s="239">
        <f t="shared" si="54"/>
        <v>0.85</v>
      </c>
      <c r="AB112" s="239">
        <f t="shared" si="54"/>
        <v>90</v>
      </c>
      <c r="AC112" s="239">
        <f t="shared" si="54"/>
        <v>70</v>
      </c>
      <c r="AD112" s="239">
        <f t="shared" si="54"/>
        <v>125</v>
      </c>
      <c r="AE112" s="239">
        <f t="shared" si="54"/>
        <v>10</v>
      </c>
      <c r="AF112" s="239">
        <f t="shared" si="54"/>
        <v>14</v>
      </c>
      <c r="AG112" s="239">
        <f t="shared" si="54"/>
        <v>14</v>
      </c>
    </row>
    <row r="113" spans="1:33">
      <c r="A113" s="239" t="s">
        <v>394</v>
      </c>
      <c r="B113" s="239">
        <v>27865</v>
      </c>
      <c r="C113" s="239">
        <v>10</v>
      </c>
      <c r="D113" s="239">
        <v>41</v>
      </c>
      <c r="E113" s="239">
        <v>0.83</v>
      </c>
      <c r="F113" s="239">
        <v>0.75</v>
      </c>
      <c r="G113" s="239">
        <v>19.878</v>
      </c>
      <c r="H113" s="239">
        <v>13.252000000000001</v>
      </c>
      <c r="I113" s="239">
        <v>125</v>
      </c>
      <c r="J113" s="239">
        <v>10</v>
      </c>
      <c r="K113" s="239">
        <v>9</v>
      </c>
      <c r="L113" s="239">
        <v>9</v>
      </c>
      <c r="T113" s="239" t="str">
        <f t="shared" si="31"/>
        <v>Combination Ripper - 18 ft folding</v>
      </c>
      <c r="U113" s="239" t="str">
        <f>$A$137</f>
        <v>Combination Ripper</v>
      </c>
      <c r="V113" s="239" t="str">
        <f>A140</f>
        <v>18 ft folding</v>
      </c>
      <c r="W113" s="239">
        <f t="shared" si="54"/>
        <v>145926</v>
      </c>
      <c r="X113" s="239">
        <f t="shared" si="54"/>
        <v>7</v>
      </c>
      <c r="Y113" s="239">
        <f t="shared" si="54"/>
        <v>18</v>
      </c>
      <c r="Z113" s="239">
        <f t="shared" si="54"/>
        <v>0.82499999999999996</v>
      </c>
      <c r="AA113" s="239">
        <f t="shared" si="54"/>
        <v>0.85</v>
      </c>
      <c r="AB113" s="239">
        <f t="shared" si="54"/>
        <v>90</v>
      </c>
      <c r="AC113" s="239">
        <f t="shared" si="54"/>
        <v>70</v>
      </c>
      <c r="AD113" s="239">
        <f t="shared" si="54"/>
        <v>125</v>
      </c>
      <c r="AE113" s="239">
        <f t="shared" si="54"/>
        <v>10</v>
      </c>
      <c r="AF113" s="239">
        <f t="shared" si="54"/>
        <v>14</v>
      </c>
      <c r="AG113" s="239">
        <f t="shared" si="54"/>
        <v>14</v>
      </c>
    </row>
    <row r="114" spans="1:33">
      <c r="A114" s="239" t="s">
        <v>395</v>
      </c>
      <c r="T114" s="239" t="str">
        <f t="shared" si="31"/>
        <v>Combination Ripper - 22 ft</v>
      </c>
      <c r="U114" s="239" t="str">
        <f>$A$137</f>
        <v>Combination Ripper</v>
      </c>
      <c r="V114" s="239" t="str">
        <f>A141</f>
        <v>22 ft</v>
      </c>
      <c r="W114" s="239">
        <f t="shared" si="54"/>
        <v>181106</v>
      </c>
      <c r="X114" s="239">
        <f t="shared" si="54"/>
        <v>7</v>
      </c>
      <c r="Y114" s="239">
        <f t="shared" si="54"/>
        <v>22</v>
      </c>
      <c r="Z114" s="239">
        <f t="shared" si="54"/>
        <v>0.82499999999999996</v>
      </c>
      <c r="AA114" s="239">
        <f t="shared" si="54"/>
        <v>0.85</v>
      </c>
      <c r="AB114" s="239">
        <f t="shared" si="54"/>
        <v>90</v>
      </c>
      <c r="AC114" s="239">
        <f t="shared" si="54"/>
        <v>70</v>
      </c>
      <c r="AD114" s="239">
        <f t="shared" si="54"/>
        <v>125</v>
      </c>
      <c r="AE114" s="239">
        <f t="shared" si="54"/>
        <v>10</v>
      </c>
      <c r="AF114" s="239">
        <f t="shared" si="54"/>
        <v>16</v>
      </c>
      <c r="AG114" s="239">
        <f t="shared" si="54"/>
        <v>14</v>
      </c>
    </row>
    <row r="115" spans="1:33">
      <c r="A115" s="239" t="s">
        <v>113</v>
      </c>
      <c r="B115" s="239">
        <v>33526</v>
      </c>
      <c r="C115" s="239">
        <v>4.5</v>
      </c>
      <c r="D115" s="239">
        <v>20</v>
      </c>
      <c r="E115" s="239">
        <v>0.83</v>
      </c>
      <c r="F115" s="239">
        <v>0.5</v>
      </c>
      <c r="G115" s="239">
        <v>66.3</v>
      </c>
      <c r="H115" s="239">
        <v>44.2</v>
      </c>
      <c r="I115" s="239">
        <v>100</v>
      </c>
      <c r="J115" s="239">
        <v>10</v>
      </c>
      <c r="K115" s="239">
        <v>5</v>
      </c>
      <c r="L115" s="239">
        <v>8</v>
      </c>
      <c r="T115" s="239" t="str">
        <f t="shared" si="31"/>
        <v>Combination Ripper - 24 ft</v>
      </c>
      <c r="U115" s="239" t="str">
        <f>$A$137</f>
        <v>Combination Ripper</v>
      </c>
      <c r="V115" s="239" t="str">
        <f>A142</f>
        <v>24 ft</v>
      </c>
      <c r="W115" s="239">
        <f t="shared" si="54"/>
        <v>211440</v>
      </c>
      <c r="X115" s="239">
        <f t="shared" si="54"/>
        <v>7</v>
      </c>
      <c r="Y115" s="239">
        <f t="shared" si="54"/>
        <v>24</v>
      </c>
      <c r="Z115" s="239">
        <f t="shared" si="54"/>
        <v>0.82499999999999996</v>
      </c>
      <c r="AA115" s="239">
        <f t="shared" si="54"/>
        <v>0.85</v>
      </c>
      <c r="AB115" s="239">
        <f t="shared" si="54"/>
        <v>90</v>
      </c>
      <c r="AC115" s="239">
        <f t="shared" si="54"/>
        <v>70</v>
      </c>
      <c r="AD115" s="239">
        <f t="shared" si="54"/>
        <v>125</v>
      </c>
      <c r="AE115" s="239">
        <f t="shared" si="54"/>
        <v>10</v>
      </c>
      <c r="AF115" s="239">
        <f t="shared" si="54"/>
        <v>17</v>
      </c>
      <c r="AG115" s="239">
        <f t="shared" si="54"/>
        <v>14</v>
      </c>
    </row>
    <row r="116" spans="1:33">
      <c r="A116" s="239" t="s">
        <v>114</v>
      </c>
      <c r="B116" s="239">
        <v>60004</v>
      </c>
      <c r="C116" s="239">
        <v>4.5</v>
      </c>
      <c r="D116" s="239">
        <v>30</v>
      </c>
      <c r="E116" s="239">
        <v>0.83</v>
      </c>
      <c r="F116" s="239">
        <v>0.5</v>
      </c>
      <c r="G116" s="239">
        <v>66.75</v>
      </c>
      <c r="H116" s="239">
        <v>44.5</v>
      </c>
      <c r="I116" s="239">
        <v>100</v>
      </c>
      <c r="J116" s="239">
        <v>10</v>
      </c>
      <c r="K116" s="239">
        <v>6</v>
      </c>
      <c r="L116" s="239">
        <v>8</v>
      </c>
      <c r="T116" s="239" t="str">
        <f t="shared" si="31"/>
        <v>High Performance Disk - 17 ft 7 in.</v>
      </c>
      <c r="U116" s="239" t="str">
        <f>$A$143</f>
        <v>High Performance Disk</v>
      </c>
      <c r="V116" s="239" t="str">
        <f>A144</f>
        <v>17 ft 7 in.</v>
      </c>
      <c r="W116" s="239">
        <f t="shared" ref="W116:AG120" si="55">B144</f>
        <v>113021</v>
      </c>
      <c r="X116" s="239">
        <f t="shared" si="55"/>
        <v>10</v>
      </c>
      <c r="Y116" s="239">
        <f t="shared" si="55"/>
        <v>17.579999999999998</v>
      </c>
      <c r="Z116" s="239">
        <f t="shared" si="55"/>
        <v>0.82499999999999996</v>
      </c>
      <c r="AA116" s="239">
        <f t="shared" si="55"/>
        <v>0.85</v>
      </c>
      <c r="AB116" s="239">
        <f t="shared" si="55"/>
        <v>90</v>
      </c>
      <c r="AC116" s="239">
        <f t="shared" si="55"/>
        <v>70</v>
      </c>
      <c r="AD116" s="239">
        <f t="shared" si="55"/>
        <v>125</v>
      </c>
      <c r="AE116" s="239">
        <f t="shared" si="55"/>
        <v>10</v>
      </c>
      <c r="AF116" s="239">
        <f t="shared" si="55"/>
        <v>11</v>
      </c>
      <c r="AG116" s="239">
        <f t="shared" si="55"/>
        <v>4</v>
      </c>
    </row>
    <row r="117" spans="1:33">
      <c r="A117" s="239" t="s">
        <v>115</v>
      </c>
      <c r="B117" s="239">
        <v>76787</v>
      </c>
      <c r="C117" s="239">
        <v>4.5</v>
      </c>
      <c r="D117" s="239">
        <v>40</v>
      </c>
      <c r="E117" s="239">
        <v>0.83</v>
      </c>
      <c r="F117" s="239">
        <v>0.5</v>
      </c>
      <c r="G117" s="239">
        <v>66.75</v>
      </c>
      <c r="H117" s="239">
        <v>44.5</v>
      </c>
      <c r="I117" s="239">
        <v>100</v>
      </c>
      <c r="J117" s="239">
        <v>10</v>
      </c>
      <c r="K117" s="239">
        <v>9</v>
      </c>
      <c r="L117" s="239">
        <v>8</v>
      </c>
      <c r="T117" s="239" t="str">
        <f t="shared" si="31"/>
        <v>High Performance Disk - 24 ft 4 in.</v>
      </c>
      <c r="U117" s="239" t="str">
        <f>$A$143</f>
        <v>High Performance Disk</v>
      </c>
      <c r="V117" s="239" t="str">
        <f>A145</f>
        <v>24 ft 4 in.</v>
      </c>
      <c r="W117" s="239">
        <f t="shared" si="55"/>
        <v>121176</v>
      </c>
      <c r="X117" s="239">
        <f t="shared" si="55"/>
        <v>10</v>
      </c>
      <c r="Y117" s="239">
        <f t="shared" si="55"/>
        <v>24.332999999999998</v>
      </c>
      <c r="Z117" s="239">
        <f t="shared" si="55"/>
        <v>0.82499999999999996</v>
      </c>
      <c r="AA117" s="239">
        <f t="shared" si="55"/>
        <v>0.85</v>
      </c>
      <c r="AB117" s="239">
        <f t="shared" si="55"/>
        <v>90</v>
      </c>
      <c r="AC117" s="239">
        <f t="shared" si="55"/>
        <v>70</v>
      </c>
      <c r="AD117" s="239">
        <f t="shared" si="55"/>
        <v>125</v>
      </c>
      <c r="AE117" s="239">
        <f t="shared" si="55"/>
        <v>10</v>
      </c>
      <c r="AF117" s="239">
        <f t="shared" si="55"/>
        <v>13</v>
      </c>
      <c r="AG117" s="239">
        <f t="shared" si="55"/>
        <v>4</v>
      </c>
    </row>
    <row r="118" spans="1:33">
      <c r="A118" s="239" t="s">
        <v>396</v>
      </c>
      <c r="T118" s="239" t="str">
        <f t="shared" si="31"/>
        <v xml:space="preserve">High Performance Disk - 30 ft </v>
      </c>
      <c r="U118" s="239" t="str">
        <f>$A$143</f>
        <v>High Performance Disk</v>
      </c>
      <c r="V118" s="239" t="str">
        <f>A146</f>
        <v xml:space="preserve">30 ft </v>
      </c>
      <c r="W118" s="239">
        <f t="shared" si="55"/>
        <v>168064</v>
      </c>
      <c r="X118" s="239">
        <f t="shared" si="55"/>
        <v>10</v>
      </c>
      <c r="Y118" s="239">
        <f t="shared" si="55"/>
        <v>30</v>
      </c>
      <c r="Z118" s="239">
        <f t="shared" si="55"/>
        <v>0.82499999999999996</v>
      </c>
      <c r="AA118" s="239">
        <f t="shared" si="55"/>
        <v>0.85</v>
      </c>
      <c r="AB118" s="239">
        <f t="shared" si="55"/>
        <v>90</v>
      </c>
      <c r="AC118" s="239">
        <f t="shared" si="55"/>
        <v>70</v>
      </c>
      <c r="AD118" s="239">
        <f t="shared" si="55"/>
        <v>125</v>
      </c>
      <c r="AE118" s="239">
        <f t="shared" si="55"/>
        <v>10</v>
      </c>
      <c r="AF118" s="239">
        <f t="shared" si="55"/>
        <v>15</v>
      </c>
      <c r="AG118" s="239">
        <f t="shared" si="55"/>
        <v>4</v>
      </c>
    </row>
    <row r="119" spans="1:33">
      <c r="A119" s="239" t="s">
        <v>397</v>
      </c>
      <c r="B119" s="239">
        <v>324149</v>
      </c>
      <c r="C119" s="239">
        <v>9.5</v>
      </c>
      <c r="D119" s="239">
        <v>80</v>
      </c>
      <c r="E119" s="239">
        <v>0.7</v>
      </c>
      <c r="F119" s="239">
        <v>0.5</v>
      </c>
      <c r="G119" s="239">
        <v>83</v>
      </c>
      <c r="H119" s="239">
        <v>83</v>
      </c>
      <c r="I119" s="239">
        <v>83</v>
      </c>
      <c r="J119" s="239">
        <v>10</v>
      </c>
      <c r="K119" s="239">
        <v>1</v>
      </c>
      <c r="L119" s="239">
        <v>1</v>
      </c>
      <c r="T119" s="239" t="str">
        <f t="shared" si="31"/>
        <v>High Performance Disk - 35 ft</v>
      </c>
      <c r="U119" s="239" t="str">
        <f>$A$143</f>
        <v>High Performance Disk</v>
      </c>
      <c r="V119" s="239" t="str">
        <f>A147</f>
        <v>35 ft</v>
      </c>
      <c r="W119" s="239">
        <f t="shared" si="55"/>
        <v>185050</v>
      </c>
      <c r="X119" s="239">
        <f t="shared" si="55"/>
        <v>10</v>
      </c>
      <c r="Y119" s="239">
        <f t="shared" si="55"/>
        <v>35</v>
      </c>
      <c r="Z119" s="239">
        <f t="shared" si="55"/>
        <v>0.82499999999999996</v>
      </c>
      <c r="AA119" s="239">
        <f t="shared" si="55"/>
        <v>0.85</v>
      </c>
      <c r="AB119" s="239">
        <f t="shared" si="55"/>
        <v>90</v>
      </c>
      <c r="AC119" s="239">
        <f t="shared" si="55"/>
        <v>70</v>
      </c>
      <c r="AD119" s="239">
        <f t="shared" si="55"/>
        <v>125</v>
      </c>
      <c r="AE119" s="239">
        <f t="shared" si="55"/>
        <v>10</v>
      </c>
      <c r="AF119" s="239">
        <f t="shared" si="55"/>
        <v>16</v>
      </c>
      <c r="AG119" s="239">
        <f t="shared" si="55"/>
        <v>4</v>
      </c>
    </row>
    <row r="120" spans="1:33">
      <c r="A120" s="239" t="s">
        <v>398</v>
      </c>
      <c r="B120" s="239">
        <v>488564</v>
      </c>
      <c r="C120" s="239">
        <v>9.5</v>
      </c>
      <c r="D120" s="239">
        <v>90</v>
      </c>
      <c r="E120" s="239">
        <v>0.7</v>
      </c>
      <c r="F120" s="239">
        <v>0.5</v>
      </c>
      <c r="G120" s="239">
        <v>83</v>
      </c>
      <c r="H120" s="239">
        <v>83</v>
      </c>
      <c r="I120" s="239">
        <v>83</v>
      </c>
      <c r="J120" s="239">
        <v>10</v>
      </c>
      <c r="K120" s="239">
        <v>1</v>
      </c>
      <c r="L120" s="239">
        <v>1</v>
      </c>
      <c r="T120" s="239" t="str">
        <f t="shared" si="31"/>
        <v>High Performance Disk - 40 ft</v>
      </c>
      <c r="U120" s="239" t="str">
        <f>$A$143</f>
        <v>High Performance Disk</v>
      </c>
      <c r="V120" s="239" t="str">
        <f>A148</f>
        <v>40 ft</v>
      </c>
      <c r="W120" s="239">
        <f t="shared" si="55"/>
        <v>198640</v>
      </c>
      <c r="X120" s="239">
        <f t="shared" si="55"/>
        <v>10</v>
      </c>
      <c r="Y120" s="239">
        <f t="shared" si="55"/>
        <v>40</v>
      </c>
      <c r="Z120" s="239">
        <f t="shared" si="55"/>
        <v>0.82499999999999996</v>
      </c>
      <c r="AA120" s="239">
        <f t="shared" si="55"/>
        <v>0.85</v>
      </c>
      <c r="AB120" s="239">
        <f t="shared" si="55"/>
        <v>90</v>
      </c>
      <c r="AC120" s="239">
        <f t="shared" si="55"/>
        <v>70</v>
      </c>
      <c r="AD120" s="239">
        <f t="shared" si="55"/>
        <v>125</v>
      </c>
      <c r="AE120" s="239">
        <f t="shared" si="55"/>
        <v>10</v>
      </c>
      <c r="AF120" s="239">
        <f t="shared" si="55"/>
        <v>17</v>
      </c>
      <c r="AG120" s="239">
        <f t="shared" si="55"/>
        <v>4</v>
      </c>
    </row>
    <row r="121" spans="1:33">
      <c r="A121" s="239" t="s">
        <v>399</v>
      </c>
      <c r="B121" s="239">
        <v>491379</v>
      </c>
      <c r="C121" s="239">
        <v>9.5</v>
      </c>
      <c r="D121" s="239">
        <v>100</v>
      </c>
      <c r="E121" s="239">
        <v>0.7</v>
      </c>
      <c r="F121" s="239">
        <v>0.5</v>
      </c>
      <c r="G121" s="239">
        <v>83</v>
      </c>
      <c r="H121" s="239">
        <v>83</v>
      </c>
      <c r="I121" s="239">
        <v>83</v>
      </c>
      <c r="J121" s="239">
        <v>10</v>
      </c>
      <c r="K121" s="239">
        <v>1</v>
      </c>
      <c r="L121" s="239">
        <v>1</v>
      </c>
    </row>
    <row r="122" spans="1:33">
      <c r="A122" s="239" t="s">
        <v>400</v>
      </c>
    </row>
    <row r="123" spans="1:33">
      <c r="A123" s="239" t="s">
        <v>401</v>
      </c>
      <c r="B123" s="239">
        <v>526251</v>
      </c>
      <c r="C123" s="239">
        <v>9.5</v>
      </c>
      <c r="D123" s="239">
        <v>120</v>
      </c>
      <c r="E123" s="239">
        <v>0.7</v>
      </c>
      <c r="F123" s="239">
        <v>0.5</v>
      </c>
      <c r="G123" s="239">
        <v>83</v>
      </c>
      <c r="H123" s="239">
        <v>83</v>
      </c>
      <c r="I123" s="239">
        <v>83</v>
      </c>
      <c r="J123" s="239">
        <v>10</v>
      </c>
      <c r="K123" s="239">
        <v>1</v>
      </c>
      <c r="L123" s="239">
        <v>1</v>
      </c>
    </row>
    <row r="124" spans="1:33">
      <c r="A124" s="239" t="s">
        <v>117</v>
      </c>
    </row>
    <row r="125" spans="1:33">
      <c r="A125" s="239" t="s">
        <v>402</v>
      </c>
      <c r="B125" s="239">
        <v>71250</v>
      </c>
      <c r="C125" s="239">
        <v>7</v>
      </c>
      <c r="D125" s="239">
        <v>90</v>
      </c>
      <c r="E125" s="239">
        <v>0.65</v>
      </c>
      <c r="F125" s="239">
        <v>0.4</v>
      </c>
      <c r="G125" s="239">
        <v>81.599999999999994</v>
      </c>
      <c r="H125" s="239">
        <v>40</v>
      </c>
      <c r="I125" s="239">
        <v>80</v>
      </c>
      <c r="J125" s="239">
        <v>10</v>
      </c>
      <c r="K125" s="239">
        <v>2</v>
      </c>
      <c r="L125" s="239">
        <v>12</v>
      </c>
    </row>
    <row r="126" spans="1:33">
      <c r="A126" s="239" t="s">
        <v>403</v>
      </c>
    </row>
    <row r="127" spans="1:33">
      <c r="A127" s="239" t="s">
        <v>404</v>
      </c>
      <c r="B127" s="239">
        <v>108719</v>
      </c>
      <c r="C127" s="239">
        <v>5</v>
      </c>
      <c r="D127" s="239">
        <v>27.5</v>
      </c>
      <c r="E127" s="239">
        <v>0.8</v>
      </c>
      <c r="F127" s="239">
        <v>0.75</v>
      </c>
      <c r="G127" s="239">
        <v>61.8</v>
      </c>
      <c r="H127" s="239">
        <v>70</v>
      </c>
      <c r="I127" s="239">
        <v>125</v>
      </c>
      <c r="J127" s="239">
        <v>10</v>
      </c>
      <c r="K127" s="239">
        <v>7</v>
      </c>
      <c r="L127" s="239">
        <v>10</v>
      </c>
    </row>
    <row r="128" spans="1:33">
      <c r="A128" s="239" t="s">
        <v>405</v>
      </c>
      <c r="B128" s="239">
        <v>136510</v>
      </c>
      <c r="C128" s="239">
        <v>5</v>
      </c>
      <c r="D128" s="239">
        <v>37.5</v>
      </c>
      <c r="E128" s="239">
        <v>0.8</v>
      </c>
      <c r="F128" s="239">
        <v>0.75</v>
      </c>
      <c r="G128" s="239">
        <v>61.8</v>
      </c>
      <c r="H128" s="239">
        <v>70</v>
      </c>
      <c r="I128" s="239">
        <v>125</v>
      </c>
      <c r="J128" s="239">
        <v>10</v>
      </c>
      <c r="K128" s="239">
        <v>10</v>
      </c>
      <c r="L128" s="239">
        <v>10</v>
      </c>
    </row>
    <row r="129" spans="1:12">
      <c r="A129" s="239" t="s">
        <v>406</v>
      </c>
      <c r="B129" s="239">
        <v>132781</v>
      </c>
      <c r="C129" s="239">
        <v>5</v>
      </c>
      <c r="D129" s="239">
        <v>47.5</v>
      </c>
      <c r="E129" s="239">
        <v>0.8</v>
      </c>
      <c r="F129" s="239">
        <v>0.75</v>
      </c>
      <c r="G129" s="239">
        <v>61.8</v>
      </c>
      <c r="H129" s="239">
        <v>70</v>
      </c>
      <c r="I129" s="239">
        <v>125</v>
      </c>
      <c r="J129" s="239">
        <v>10</v>
      </c>
      <c r="K129" s="239">
        <v>12</v>
      </c>
      <c r="L129" s="239">
        <v>10</v>
      </c>
    </row>
    <row r="130" spans="1:12">
      <c r="A130" s="239" t="s">
        <v>407</v>
      </c>
      <c r="B130" s="239">
        <v>156437</v>
      </c>
      <c r="C130" s="239">
        <v>5</v>
      </c>
      <c r="D130" s="239">
        <v>62.5</v>
      </c>
      <c r="E130" s="239">
        <v>0.8</v>
      </c>
      <c r="F130" s="239">
        <v>0.75</v>
      </c>
      <c r="G130" s="239">
        <v>61.8</v>
      </c>
      <c r="H130" s="239">
        <v>70</v>
      </c>
      <c r="I130" s="239">
        <v>125</v>
      </c>
      <c r="J130" s="239">
        <v>10</v>
      </c>
      <c r="K130" s="239">
        <v>16</v>
      </c>
      <c r="L130" s="239">
        <v>10</v>
      </c>
    </row>
    <row r="131" spans="1:12">
      <c r="A131" s="239" t="s">
        <v>317</v>
      </c>
    </row>
    <row r="132" spans="1:12">
      <c r="A132" s="239" t="s">
        <v>342</v>
      </c>
      <c r="B132" s="239">
        <v>68250</v>
      </c>
      <c r="C132" s="239">
        <v>8</v>
      </c>
      <c r="D132" s="239">
        <v>40</v>
      </c>
      <c r="E132" s="239">
        <v>0.8</v>
      </c>
      <c r="F132" s="239">
        <v>0.75</v>
      </c>
      <c r="G132" s="239">
        <v>61.8</v>
      </c>
      <c r="H132" s="239">
        <v>70</v>
      </c>
      <c r="I132" s="239">
        <v>75</v>
      </c>
      <c r="J132" s="239">
        <v>10</v>
      </c>
      <c r="K132" s="239">
        <v>8</v>
      </c>
      <c r="L132" s="239">
        <v>10</v>
      </c>
    </row>
    <row r="133" spans="1:12">
      <c r="A133" s="239" t="s">
        <v>408</v>
      </c>
      <c r="B133" s="239">
        <v>93000</v>
      </c>
      <c r="C133" s="239">
        <v>8</v>
      </c>
      <c r="D133" s="239">
        <v>60</v>
      </c>
      <c r="E133" s="239">
        <v>0.8</v>
      </c>
      <c r="F133" s="239">
        <v>0.75</v>
      </c>
      <c r="G133" s="239">
        <v>61.8</v>
      </c>
      <c r="H133" s="239">
        <v>70</v>
      </c>
      <c r="I133" s="239">
        <v>75</v>
      </c>
      <c r="J133" s="239">
        <v>10</v>
      </c>
      <c r="K133" s="239">
        <v>11</v>
      </c>
      <c r="L133" s="239">
        <v>10</v>
      </c>
    </row>
    <row r="134" spans="1:12">
      <c r="A134" s="239" t="s">
        <v>409</v>
      </c>
    </row>
    <row r="135" spans="1:12">
      <c r="A135" s="239" t="s">
        <v>50</v>
      </c>
      <c r="B135" s="239">
        <v>31038</v>
      </c>
      <c r="C135" s="239">
        <v>4</v>
      </c>
      <c r="D135" s="239">
        <v>15</v>
      </c>
      <c r="E135" s="239">
        <v>0.8</v>
      </c>
      <c r="F135" s="239">
        <v>0.75</v>
      </c>
      <c r="G135" s="239">
        <v>61.8</v>
      </c>
      <c r="H135" s="239">
        <v>50</v>
      </c>
      <c r="I135" s="239">
        <v>75</v>
      </c>
      <c r="J135" s="239">
        <v>10</v>
      </c>
      <c r="K135" s="239">
        <v>5</v>
      </c>
      <c r="L135" s="239">
        <v>18</v>
      </c>
    </row>
    <row r="136" spans="1:12">
      <c r="A136" s="239" t="s">
        <v>386</v>
      </c>
      <c r="B136" s="239">
        <v>40913</v>
      </c>
      <c r="C136" s="239">
        <v>4</v>
      </c>
      <c r="D136" s="239">
        <v>20</v>
      </c>
      <c r="E136" s="239">
        <v>0.8</v>
      </c>
      <c r="F136" s="239">
        <v>0.75</v>
      </c>
      <c r="G136" s="239">
        <v>61.8</v>
      </c>
      <c r="H136" s="239">
        <v>50</v>
      </c>
      <c r="I136" s="239">
        <v>75</v>
      </c>
      <c r="J136" s="239">
        <v>10</v>
      </c>
      <c r="K136" s="239">
        <v>5</v>
      </c>
      <c r="L136" s="239">
        <v>18</v>
      </c>
    </row>
    <row r="137" spans="1:12">
      <c r="A137" s="239" t="s">
        <v>410</v>
      </c>
    </row>
    <row r="138" spans="1:12">
      <c r="A138" s="239" t="s">
        <v>411</v>
      </c>
      <c r="B138" s="239">
        <v>109227</v>
      </c>
      <c r="C138" s="239">
        <v>7</v>
      </c>
      <c r="D138" s="239">
        <v>14</v>
      </c>
      <c r="E138" s="239">
        <v>0.82499999999999996</v>
      </c>
      <c r="F138" s="239">
        <v>0.85</v>
      </c>
      <c r="G138" s="239">
        <v>90</v>
      </c>
      <c r="H138" s="239">
        <v>70</v>
      </c>
      <c r="I138" s="239">
        <v>125</v>
      </c>
      <c r="J138" s="239">
        <v>10</v>
      </c>
      <c r="K138" s="239">
        <v>13</v>
      </c>
      <c r="L138" s="239">
        <v>14</v>
      </c>
    </row>
    <row r="139" spans="1:12">
      <c r="A139" s="239" t="s">
        <v>466</v>
      </c>
      <c r="B139" s="239">
        <v>133032</v>
      </c>
      <c r="C139" s="239">
        <v>7</v>
      </c>
      <c r="D139" s="239">
        <v>18</v>
      </c>
      <c r="E139" s="239">
        <v>0.82499999999999996</v>
      </c>
      <c r="F139" s="239">
        <v>0.85</v>
      </c>
      <c r="G139" s="239">
        <v>90</v>
      </c>
      <c r="H139" s="239">
        <v>70</v>
      </c>
      <c r="I139" s="239">
        <v>125</v>
      </c>
      <c r="J139" s="239">
        <v>10</v>
      </c>
      <c r="K139" s="239">
        <v>14</v>
      </c>
      <c r="L139" s="239">
        <v>14</v>
      </c>
    </row>
    <row r="140" spans="1:12">
      <c r="A140" s="239" t="s">
        <v>467</v>
      </c>
      <c r="B140" s="239">
        <v>145926</v>
      </c>
      <c r="C140" s="239">
        <v>7</v>
      </c>
      <c r="D140" s="239">
        <v>18</v>
      </c>
      <c r="E140" s="239">
        <v>0.82499999999999996</v>
      </c>
      <c r="F140" s="239">
        <v>0.85</v>
      </c>
      <c r="G140" s="239">
        <v>90</v>
      </c>
      <c r="H140" s="239">
        <v>70</v>
      </c>
      <c r="I140" s="239">
        <v>125</v>
      </c>
      <c r="J140" s="239">
        <v>10</v>
      </c>
      <c r="K140" s="239">
        <v>14</v>
      </c>
      <c r="L140" s="239">
        <v>14</v>
      </c>
    </row>
    <row r="141" spans="1:12">
      <c r="A141" s="239" t="s">
        <v>412</v>
      </c>
      <c r="B141" s="239">
        <v>181106</v>
      </c>
      <c r="C141" s="239">
        <v>7</v>
      </c>
      <c r="D141" s="239">
        <v>22</v>
      </c>
      <c r="E141" s="239">
        <v>0.82499999999999996</v>
      </c>
      <c r="F141" s="239">
        <v>0.85</v>
      </c>
      <c r="G141" s="239">
        <v>90</v>
      </c>
      <c r="H141" s="239">
        <v>70</v>
      </c>
      <c r="I141" s="239">
        <v>125</v>
      </c>
      <c r="J141" s="239">
        <v>10</v>
      </c>
      <c r="K141" s="239">
        <v>16</v>
      </c>
      <c r="L141" s="239">
        <v>14</v>
      </c>
    </row>
    <row r="142" spans="1:12">
      <c r="A142" s="239" t="s">
        <v>413</v>
      </c>
      <c r="B142" s="239">
        <v>211440</v>
      </c>
      <c r="C142" s="239">
        <v>7</v>
      </c>
      <c r="D142" s="239">
        <v>24</v>
      </c>
      <c r="E142" s="239">
        <v>0.82499999999999996</v>
      </c>
      <c r="F142" s="239">
        <v>0.85</v>
      </c>
      <c r="G142" s="239">
        <v>90</v>
      </c>
      <c r="H142" s="239">
        <v>70</v>
      </c>
      <c r="I142" s="239">
        <v>125</v>
      </c>
      <c r="J142" s="239">
        <v>10</v>
      </c>
      <c r="K142" s="239">
        <v>17</v>
      </c>
      <c r="L142" s="239">
        <v>14</v>
      </c>
    </row>
    <row r="143" spans="1:12">
      <c r="A143" s="239" t="s">
        <v>316</v>
      </c>
    </row>
    <row r="144" spans="1:12">
      <c r="A144" s="239" t="s">
        <v>414</v>
      </c>
      <c r="B144" s="239">
        <v>113021</v>
      </c>
      <c r="C144" s="239">
        <v>10</v>
      </c>
      <c r="D144" s="239">
        <v>17.579999999999998</v>
      </c>
      <c r="E144" s="239">
        <v>0.82499999999999996</v>
      </c>
      <c r="F144" s="239">
        <v>0.85</v>
      </c>
      <c r="G144" s="239">
        <v>90</v>
      </c>
      <c r="H144" s="239">
        <v>70</v>
      </c>
      <c r="I144" s="239">
        <v>125</v>
      </c>
      <c r="J144" s="239">
        <v>10</v>
      </c>
      <c r="K144" s="239">
        <v>11</v>
      </c>
      <c r="L144" s="239">
        <v>4</v>
      </c>
    </row>
    <row r="145" spans="1:12">
      <c r="A145" s="239" t="s">
        <v>415</v>
      </c>
      <c r="B145" s="239">
        <v>121176</v>
      </c>
      <c r="C145" s="239">
        <v>10</v>
      </c>
      <c r="D145" s="239">
        <v>24.332999999999998</v>
      </c>
      <c r="E145" s="239">
        <v>0.82499999999999996</v>
      </c>
      <c r="F145" s="239">
        <v>0.85</v>
      </c>
      <c r="G145" s="239">
        <v>90</v>
      </c>
      <c r="H145" s="239">
        <v>70</v>
      </c>
      <c r="I145" s="239">
        <v>125</v>
      </c>
      <c r="J145" s="239">
        <v>10</v>
      </c>
      <c r="K145" s="239">
        <v>13</v>
      </c>
      <c r="L145" s="239">
        <v>4</v>
      </c>
    </row>
    <row r="146" spans="1:12">
      <c r="A146" s="239" t="s">
        <v>416</v>
      </c>
      <c r="B146" s="239">
        <v>168064</v>
      </c>
      <c r="C146" s="239">
        <v>10</v>
      </c>
      <c r="D146" s="239">
        <v>30</v>
      </c>
      <c r="E146" s="239">
        <v>0.82499999999999996</v>
      </c>
      <c r="F146" s="239">
        <v>0.85</v>
      </c>
      <c r="G146" s="239">
        <v>90</v>
      </c>
      <c r="H146" s="239">
        <v>70</v>
      </c>
      <c r="I146" s="239">
        <v>125</v>
      </c>
      <c r="J146" s="239">
        <v>10</v>
      </c>
      <c r="K146" s="239">
        <v>15</v>
      </c>
      <c r="L146" s="239">
        <v>4</v>
      </c>
    </row>
    <row r="147" spans="1:12">
      <c r="A147" s="239" t="s">
        <v>417</v>
      </c>
      <c r="B147" s="239">
        <v>185050</v>
      </c>
      <c r="C147" s="239">
        <v>10</v>
      </c>
      <c r="D147" s="239">
        <v>35</v>
      </c>
      <c r="E147" s="239">
        <v>0.82499999999999996</v>
      </c>
      <c r="F147" s="239">
        <v>0.85</v>
      </c>
      <c r="G147" s="239">
        <v>90</v>
      </c>
      <c r="H147" s="239">
        <v>70</v>
      </c>
      <c r="I147" s="239">
        <v>125</v>
      </c>
      <c r="J147" s="239">
        <v>10</v>
      </c>
      <c r="K147" s="239">
        <v>16</v>
      </c>
      <c r="L147" s="239">
        <v>4</v>
      </c>
    </row>
    <row r="148" spans="1:12">
      <c r="A148" s="239" t="s">
        <v>418</v>
      </c>
      <c r="B148" s="239">
        <v>198640</v>
      </c>
      <c r="C148" s="239">
        <v>10</v>
      </c>
      <c r="D148" s="239">
        <v>40</v>
      </c>
      <c r="E148" s="239">
        <v>0.82499999999999996</v>
      </c>
      <c r="F148" s="239">
        <v>0.85</v>
      </c>
      <c r="G148" s="239">
        <v>90</v>
      </c>
      <c r="H148" s="239">
        <v>70</v>
      </c>
      <c r="I148" s="239">
        <v>125</v>
      </c>
      <c r="J148" s="239">
        <v>10</v>
      </c>
      <c r="K148" s="239">
        <v>17</v>
      </c>
      <c r="L148" s="239">
        <v>4</v>
      </c>
    </row>
  </sheetData>
  <sheetProtection algorithmName="SHA-512" hashValue="CG0S9Yyyh2fSrSnn2QMuG3pAcRHN890Zzi1Pv5yPdyoqcOUKYA4crbI5dLcYq1vGFO25R5KKf8+c0yJOyItjyQ==" saltValue="cS8pT9Cb+kWV1kC4HKh6Tw==" spinCount="100000" sheet="1" objects="1" scenarios="1"/>
  <mergeCells count="1">
    <mergeCell ref="AB2:AD2"/>
  </mergeCells>
  <pageMargins left="0.7" right="0.7" top="0.75" bottom="0.75" header="0.3" footer="0.3"/>
  <pageSetup orientation="portrait" r:id="rId1"/>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Sheet2"/>
  <dimension ref="B1:BE70"/>
  <sheetViews>
    <sheetView showGridLines="0" showRowColHeaders="0" topLeftCell="C1" zoomScaleNormal="100" workbookViewId="0">
      <selection activeCell="P1" sqref="P1:BE1048576"/>
    </sheetView>
  </sheetViews>
  <sheetFormatPr defaultRowHeight="12.5"/>
  <cols>
    <col min="1" max="1" width="0.6328125" customWidth="1"/>
    <col min="2" max="2" width="0.54296875" customWidth="1"/>
    <col min="3" max="3" width="14.54296875" customWidth="1"/>
    <col min="4" max="4" width="7.54296875" customWidth="1"/>
    <col min="5" max="7" width="12.6328125" customWidth="1"/>
    <col min="8" max="8" width="0.6328125" customWidth="1"/>
    <col min="9" max="9" width="0.54296875" customWidth="1"/>
    <col min="10" max="10" width="16.36328125" customWidth="1"/>
    <col min="11" max="11" width="6.90625" customWidth="1"/>
    <col min="12" max="12" width="7.6328125" customWidth="1"/>
    <col min="13" max="13" width="8.6328125" customWidth="1"/>
    <col min="14" max="14" width="1.36328125" customWidth="1"/>
    <col min="15" max="15" width="0.90625" customWidth="1"/>
    <col min="16" max="16" width="16.6328125" style="239" hidden="1" customWidth="1"/>
    <col min="17" max="33" width="0" style="239" hidden="1" customWidth="1"/>
    <col min="34" max="53" width="0" hidden="1" customWidth="1"/>
    <col min="54" max="54" width="10" hidden="1" customWidth="1"/>
    <col min="55" max="56" width="0" hidden="1" customWidth="1"/>
    <col min="57" max="57" width="10" hidden="1" customWidth="1"/>
  </cols>
  <sheetData>
    <row r="1" spans="2:33" ht="13.25" customHeight="1"/>
    <row r="2" spans="2:33" ht="13.25" customHeight="1">
      <c r="B2" s="8"/>
      <c r="C2" s="9"/>
      <c r="D2" s="9"/>
      <c r="E2" s="178"/>
      <c r="F2" s="178"/>
      <c r="G2" s="178"/>
      <c r="H2" s="10"/>
    </row>
    <row r="3" spans="2:33" ht="13.25" customHeight="1">
      <c r="B3" s="11"/>
      <c r="C3" s="107" t="s">
        <v>221</v>
      </c>
      <c r="D3" s="12"/>
      <c r="E3" s="102"/>
      <c r="F3" s="102" t="s">
        <v>61</v>
      </c>
      <c r="G3" s="102" t="s">
        <v>145</v>
      </c>
      <c r="H3" s="13"/>
    </row>
    <row r="4" spans="2:33" ht="13.25" customHeight="1">
      <c r="B4" s="11"/>
      <c r="C4" s="12"/>
      <c r="D4" s="12"/>
      <c r="E4" s="102" t="s">
        <v>222</v>
      </c>
      <c r="F4" s="102" t="s">
        <v>144</v>
      </c>
      <c r="G4" s="102" t="s">
        <v>148</v>
      </c>
      <c r="H4" s="13"/>
      <c r="U4" s="239" t="s">
        <v>419</v>
      </c>
      <c r="V4" s="239" t="s">
        <v>420</v>
      </c>
      <c r="W4" s="239" t="s">
        <v>421</v>
      </c>
      <c r="X4" s="239" t="s">
        <v>422</v>
      </c>
    </row>
    <row r="5" spans="2:33" ht="13.25" customHeight="1">
      <c r="B5" s="11"/>
      <c r="C5" s="12"/>
      <c r="D5" s="12"/>
      <c r="E5" s="102"/>
      <c r="F5" s="102"/>
      <c r="G5" s="102"/>
      <c r="H5" s="13"/>
    </row>
    <row r="6" spans="2:33" ht="13.25" customHeight="1">
      <c r="B6" s="11"/>
      <c r="C6" s="12" t="s">
        <v>159</v>
      </c>
      <c r="D6" s="12"/>
      <c r="E6" s="247" t="s">
        <v>329</v>
      </c>
      <c r="F6" s="180" t="s">
        <v>115</v>
      </c>
      <c r="G6" s="180" t="s">
        <v>437</v>
      </c>
      <c r="H6" s="13"/>
      <c r="P6" s="239" t="s">
        <v>80</v>
      </c>
      <c r="Q6" s="239">
        <v>0.85</v>
      </c>
      <c r="T6" s="239">
        <v>22</v>
      </c>
      <c r="U6" s="239">
        <v>0.67</v>
      </c>
      <c r="V6" s="239">
        <v>0.94</v>
      </c>
      <c r="W6" s="239">
        <v>0.04</v>
      </c>
      <c r="X6" s="239">
        <v>2.1</v>
      </c>
    </row>
    <row r="7" spans="2:33" ht="13.25" customHeight="1">
      <c r="B7" s="11"/>
      <c r="C7" s="12" t="s">
        <v>183</v>
      </c>
      <c r="D7" s="12"/>
      <c r="E7" s="181">
        <v>740650</v>
      </c>
      <c r="F7" s="181">
        <v>216650</v>
      </c>
      <c r="G7" s="181">
        <v>156846</v>
      </c>
      <c r="H7" s="13"/>
      <c r="P7" s="239" t="s">
        <v>82</v>
      </c>
      <c r="Q7" s="239">
        <v>5.5E-2</v>
      </c>
      <c r="T7" s="239">
        <v>23</v>
      </c>
      <c r="U7" s="239">
        <v>0.67</v>
      </c>
      <c r="V7" s="239">
        <v>0.94</v>
      </c>
      <c r="W7" s="239">
        <v>0.04</v>
      </c>
      <c r="X7" s="239">
        <v>2.1</v>
      </c>
    </row>
    <row r="8" spans="2:33" ht="13.25" customHeight="1">
      <c r="B8" s="11"/>
      <c r="C8" s="12" t="s">
        <v>184</v>
      </c>
      <c r="D8" s="12"/>
      <c r="E8" s="186">
        <v>0</v>
      </c>
      <c r="F8" s="187">
        <v>0</v>
      </c>
      <c r="G8" s="187">
        <v>0</v>
      </c>
      <c r="H8" s="13"/>
      <c r="J8" t="s">
        <v>229</v>
      </c>
      <c r="P8" s="239" t="s">
        <v>84</v>
      </c>
      <c r="Q8" s="239">
        <v>0.01</v>
      </c>
      <c r="T8" s="239">
        <v>24</v>
      </c>
      <c r="U8" s="239">
        <v>0.67</v>
      </c>
      <c r="V8" s="239">
        <v>0.94</v>
      </c>
      <c r="W8" s="239">
        <v>0.04</v>
      </c>
      <c r="X8" s="239">
        <v>2.1</v>
      </c>
    </row>
    <row r="9" spans="2:33" ht="13.25" customHeight="1">
      <c r="B9" s="11"/>
      <c r="C9" s="12" t="s">
        <v>186</v>
      </c>
      <c r="D9" s="12"/>
      <c r="E9" s="186">
        <v>7</v>
      </c>
      <c r="F9" s="187">
        <v>7</v>
      </c>
      <c r="G9" s="187">
        <v>7</v>
      </c>
      <c r="H9" s="13"/>
      <c r="P9" s="239" t="s">
        <v>93</v>
      </c>
      <c r="Q9" s="239">
        <v>3.5</v>
      </c>
    </row>
    <row r="10" spans="2:33" ht="13.25" customHeight="1">
      <c r="B10" s="11"/>
      <c r="C10" s="12" t="s">
        <v>143</v>
      </c>
      <c r="D10" s="12"/>
      <c r="E10" s="179">
        <v>540</v>
      </c>
      <c r="F10" s="12"/>
      <c r="G10" s="12"/>
      <c r="H10" s="13"/>
      <c r="P10" s="239" t="s">
        <v>86</v>
      </c>
      <c r="Q10" s="239">
        <v>0.1</v>
      </c>
    </row>
    <row r="11" spans="2:33" ht="13.25" customHeight="1">
      <c r="B11" s="11"/>
      <c r="C11" s="12" t="s">
        <v>218</v>
      </c>
      <c r="D11" s="12"/>
      <c r="E11" s="12"/>
      <c r="F11" s="153">
        <v>40</v>
      </c>
      <c r="G11" s="153">
        <v>40</v>
      </c>
      <c r="H11" s="13"/>
      <c r="P11" s="239" t="s">
        <v>89</v>
      </c>
      <c r="Q11" s="239">
        <v>21</v>
      </c>
    </row>
    <row r="12" spans="2:33" ht="13.25" customHeight="1">
      <c r="B12" s="11"/>
      <c r="C12" s="12" t="s">
        <v>215</v>
      </c>
      <c r="D12" s="12"/>
      <c r="E12" s="12"/>
      <c r="F12" s="153">
        <v>3.8</v>
      </c>
      <c r="G12" s="153">
        <v>5.5</v>
      </c>
      <c r="H12" s="13"/>
      <c r="P12" s="239" t="s">
        <v>91</v>
      </c>
      <c r="Q12" s="239">
        <v>1.1000000000000001</v>
      </c>
    </row>
    <row r="13" spans="2:33" ht="13.25" customHeight="1">
      <c r="B13" s="11"/>
      <c r="C13" s="12" t="s">
        <v>26</v>
      </c>
      <c r="D13" s="12"/>
      <c r="E13" s="12"/>
      <c r="F13" s="164">
        <v>0.7</v>
      </c>
      <c r="G13" s="164">
        <v>0.73</v>
      </c>
      <c r="H13" s="12"/>
      <c r="I13" s="189"/>
      <c r="Z13" s="239" t="s">
        <v>115</v>
      </c>
      <c r="AA13" s="239">
        <f t="shared" ref="AA13:AG13" si="0">VLOOKUP($F$6,$Z$17:$AG$21,AA$15,FALSE)</f>
        <v>216650</v>
      </c>
      <c r="AB13" s="239">
        <f t="shared" si="0"/>
        <v>0</v>
      </c>
      <c r="AC13" s="239">
        <f t="shared" si="0"/>
        <v>7</v>
      </c>
      <c r="AD13" s="239">
        <f t="shared" si="0"/>
        <v>40</v>
      </c>
      <c r="AE13" s="239">
        <f t="shared" si="0"/>
        <v>3.8</v>
      </c>
      <c r="AF13" s="239">
        <f t="shared" si="0"/>
        <v>0.7</v>
      </c>
      <c r="AG13" s="239">
        <f t="shared" si="0"/>
        <v>1890</v>
      </c>
    </row>
    <row r="14" spans="2:33" ht="13.25" customHeight="1">
      <c r="B14" s="11"/>
      <c r="C14" s="12" t="s">
        <v>216</v>
      </c>
      <c r="D14" s="12"/>
      <c r="E14" s="12"/>
      <c r="F14" s="182">
        <v>1890</v>
      </c>
      <c r="G14" s="182">
        <v>1260</v>
      </c>
      <c r="H14" s="12"/>
      <c r="I14" s="189"/>
      <c r="T14" s="239" t="s">
        <v>329</v>
      </c>
      <c r="U14" s="239">
        <f>VLOOKUP($E$6,$T$17:$X$19,U$15,FALSE)</f>
        <v>740650</v>
      </c>
      <c r="V14" s="239">
        <f>VLOOKUP($E$6,$T$17:$X$19,V$15,FALSE)</f>
        <v>0</v>
      </c>
      <c r="W14" s="239">
        <f>VLOOKUP($E$6,$T$17:$X$19,W$15,FALSE)</f>
        <v>7</v>
      </c>
      <c r="X14" s="239">
        <f>VLOOKUP($E$6,$T$17:$X$19,X$15,FALSE)</f>
        <v>540</v>
      </c>
      <c r="Z14" s="239" t="s">
        <v>437</v>
      </c>
      <c r="AA14" s="239">
        <f t="shared" ref="AA14:AG14" si="1">VLOOKUP($G$6,$Z$17:$AG$24,AA$15,FALSE)</f>
        <v>156846</v>
      </c>
      <c r="AB14" s="239">
        <f t="shared" si="1"/>
        <v>0</v>
      </c>
      <c r="AC14" s="239">
        <f t="shared" si="1"/>
        <v>7</v>
      </c>
      <c r="AD14" s="239">
        <f t="shared" si="1"/>
        <v>40</v>
      </c>
      <c r="AE14" s="239">
        <f t="shared" si="1"/>
        <v>5.5</v>
      </c>
      <c r="AF14" s="239">
        <f t="shared" si="1"/>
        <v>0.73</v>
      </c>
      <c r="AG14" s="239">
        <f t="shared" si="1"/>
        <v>1260</v>
      </c>
    </row>
    <row r="15" spans="2:33" ht="13.25" customHeight="1">
      <c r="B15" s="183"/>
      <c r="C15" s="174"/>
      <c r="D15" s="174"/>
      <c r="E15" s="174"/>
      <c r="F15" s="174"/>
      <c r="G15" s="174"/>
      <c r="H15" s="174"/>
      <c r="I15" s="189"/>
      <c r="T15" s="239">
        <v>1</v>
      </c>
      <c r="U15" s="239">
        <v>2</v>
      </c>
      <c r="V15" s="239">
        <v>3</v>
      </c>
      <c r="W15" s="239">
        <v>4</v>
      </c>
      <c r="X15" s="239">
        <v>5</v>
      </c>
      <c r="Z15" s="239">
        <v>1</v>
      </c>
      <c r="AA15" s="239">
        <v>2</v>
      </c>
      <c r="AB15" s="239">
        <v>3</v>
      </c>
      <c r="AC15" s="239">
        <v>4</v>
      </c>
      <c r="AD15" s="239">
        <v>5</v>
      </c>
      <c r="AE15" s="239">
        <v>6</v>
      </c>
      <c r="AF15" s="239">
        <v>7</v>
      </c>
      <c r="AG15" s="239">
        <v>8</v>
      </c>
    </row>
    <row r="16" spans="2:33" ht="13.25" customHeight="1">
      <c r="B16" s="11"/>
      <c r="C16" s="12"/>
      <c r="D16" s="12"/>
      <c r="E16" s="12"/>
      <c r="F16" s="102" t="s">
        <v>61</v>
      </c>
      <c r="G16" s="102" t="s">
        <v>145</v>
      </c>
      <c r="H16" s="12"/>
      <c r="I16" s="189"/>
      <c r="K16" s="149"/>
      <c r="L16" s="188"/>
      <c r="M16" s="188"/>
      <c r="T16" s="239" t="s">
        <v>159</v>
      </c>
      <c r="U16" s="239" t="s">
        <v>320</v>
      </c>
      <c r="V16" s="239" t="s">
        <v>322</v>
      </c>
      <c r="W16" s="239" t="s">
        <v>321</v>
      </c>
      <c r="X16" s="239" t="s">
        <v>143</v>
      </c>
      <c r="Z16" s="239" t="s">
        <v>159</v>
      </c>
      <c r="AA16" s="239" t="s">
        <v>320</v>
      </c>
      <c r="AB16" s="239" t="s">
        <v>322</v>
      </c>
      <c r="AC16" s="239" t="s">
        <v>321</v>
      </c>
      <c r="AD16" s="239" t="s">
        <v>324</v>
      </c>
      <c r="AE16" s="239" t="s">
        <v>323</v>
      </c>
      <c r="AF16" s="239" t="s">
        <v>325</v>
      </c>
      <c r="AG16" s="239" t="s">
        <v>326</v>
      </c>
    </row>
    <row r="17" spans="2:57" ht="13.25" customHeight="1">
      <c r="B17" s="11"/>
      <c r="C17" s="107" t="s">
        <v>223</v>
      </c>
      <c r="D17" s="12"/>
      <c r="E17" s="102" t="s">
        <v>222</v>
      </c>
      <c r="F17" s="102" t="s">
        <v>144</v>
      </c>
      <c r="G17" s="102" t="s">
        <v>148</v>
      </c>
      <c r="H17" s="12"/>
      <c r="I17" s="8"/>
      <c r="J17" s="9"/>
      <c r="K17" s="9"/>
      <c r="L17" s="9"/>
      <c r="M17" s="9"/>
      <c r="N17" s="10"/>
      <c r="T17" s="239" t="s">
        <v>327</v>
      </c>
      <c r="U17" s="239">
        <v>592850</v>
      </c>
      <c r="V17" s="239">
        <v>0</v>
      </c>
      <c r="W17" s="239">
        <v>7</v>
      </c>
      <c r="X17" s="239">
        <v>330</v>
      </c>
      <c r="Z17" s="239" t="s">
        <v>113</v>
      </c>
      <c r="AA17" s="239">
        <v>108000</v>
      </c>
      <c r="AB17" s="239">
        <v>0</v>
      </c>
      <c r="AC17" s="239">
        <v>7</v>
      </c>
      <c r="AD17" s="239">
        <v>20</v>
      </c>
      <c r="AE17" s="239">
        <v>3.8</v>
      </c>
      <c r="AF17" s="239">
        <v>0.7</v>
      </c>
      <c r="AG17" s="239">
        <v>1140</v>
      </c>
      <c r="AI17" s="239"/>
      <c r="AJ17" s="239"/>
      <c r="AK17" s="239"/>
      <c r="AL17" s="249">
        <f>VLOOKUP($E$9-1,$AI$20:$AO$70,4,FALSE)</f>
        <v>23890.54862949048</v>
      </c>
      <c r="AM17" s="239"/>
      <c r="AN17" s="239"/>
      <c r="AO17" s="249">
        <f>VLOOKUP($E$9-1,$AI$20:$AO$70,7,FALSE)</f>
        <v>4343.736114452814</v>
      </c>
      <c r="AQ17" s="239"/>
      <c r="AR17" s="239"/>
      <c r="AS17" s="239"/>
      <c r="AT17" s="249">
        <f>VLOOKUP($F$9-1,$AQ$20:$AW$70,4,FALSE)</f>
        <v>6988.3040040222932</v>
      </c>
      <c r="AU17" s="239"/>
      <c r="AV17" s="239"/>
      <c r="AW17" s="249">
        <f>VLOOKUP($F$9-1,$AQ$20:$AW$70,7,FALSE)</f>
        <v>1270.6007280040535</v>
      </c>
      <c r="AY17" s="239"/>
      <c r="AZ17" s="239"/>
      <c r="BA17" s="239"/>
      <c r="BB17" s="249">
        <f>VLOOKUP($G$9-1,$AY$20:$BE$70,4,FALSE)</f>
        <v>5059.2546956606539</v>
      </c>
      <c r="BC17" s="239"/>
      <c r="BD17" s="239"/>
      <c r="BE17" s="249">
        <f>VLOOKUP($G$9-1,$AY$20:$BE$70,7,FALSE)</f>
        <v>919.86449012011894</v>
      </c>
    </row>
    <row r="18" spans="2:57" ht="13.25" customHeight="1">
      <c r="B18" s="11"/>
      <c r="C18" s="12" t="s">
        <v>80</v>
      </c>
      <c r="D18" s="194"/>
      <c r="E18" s="154">
        <f t="shared" ref="E18:G19" si="2">P18</f>
        <v>629553</v>
      </c>
      <c r="F18" s="154">
        <f t="shared" si="2"/>
        <v>184153</v>
      </c>
      <c r="G18" s="154">
        <f t="shared" si="2"/>
        <v>133319</v>
      </c>
      <c r="H18" s="12"/>
      <c r="I18" s="11"/>
      <c r="J18" s="107" t="s">
        <v>151</v>
      </c>
      <c r="K18" s="26"/>
      <c r="L18" s="57"/>
      <c r="M18" s="57"/>
      <c r="N18" s="13"/>
      <c r="P18" s="248">
        <f>ROUND(IF(E8=0,E7*K19,E7*U6*V6^E8),0)</f>
        <v>629553</v>
      </c>
      <c r="Q18" s="248">
        <f>ROUND(IF(F8=0,F7*K19,F7*U7*V7^F8),0)</f>
        <v>184153</v>
      </c>
      <c r="R18" s="248">
        <f>ROUND(IF(G8=0,G7*K19,G7*U8*V8^G8),0)</f>
        <v>133319</v>
      </c>
      <c r="T18" s="239" t="s">
        <v>328</v>
      </c>
      <c r="U18" s="239">
        <v>708000</v>
      </c>
      <c r="V18" s="239">
        <v>0</v>
      </c>
      <c r="W18" s="239">
        <v>7</v>
      </c>
      <c r="X18" s="239">
        <v>470</v>
      </c>
      <c r="Z18" s="239" t="s">
        <v>114</v>
      </c>
      <c r="AA18" s="239">
        <v>164750</v>
      </c>
      <c r="AB18" s="239">
        <v>0</v>
      </c>
      <c r="AC18" s="239">
        <v>7</v>
      </c>
      <c r="AD18" s="239">
        <v>30</v>
      </c>
      <c r="AE18" s="239">
        <v>3.8</v>
      </c>
      <c r="AF18" s="239">
        <v>0.7</v>
      </c>
      <c r="AG18" s="239">
        <v>1500</v>
      </c>
      <c r="AI18" s="239"/>
      <c r="AJ18" s="239"/>
      <c r="AK18" s="239"/>
      <c r="AL18" s="239"/>
      <c r="AM18" s="239"/>
      <c r="AN18" s="239"/>
      <c r="AO18" s="239"/>
      <c r="AQ18" s="239"/>
      <c r="AR18" s="239"/>
      <c r="AS18" s="239"/>
      <c r="AT18" s="239"/>
      <c r="AU18" s="239"/>
      <c r="AV18" s="239"/>
      <c r="AW18" s="239"/>
      <c r="AY18" s="239"/>
      <c r="AZ18" s="239"/>
      <c r="BA18" s="239"/>
      <c r="BB18" s="239"/>
      <c r="BC18" s="239"/>
      <c r="BD18" s="239"/>
      <c r="BE18" s="239"/>
    </row>
    <row r="19" spans="2:57" ht="13.25" customHeight="1">
      <c r="B19" s="11"/>
      <c r="C19" s="12" t="s">
        <v>185</v>
      </c>
      <c r="D19" s="12"/>
      <c r="E19" s="154">
        <f t="shared" si="2"/>
        <v>321797.60319298174</v>
      </c>
      <c r="F19" s="154">
        <f t="shared" si="2"/>
        <v>94130.089423829733</v>
      </c>
      <c r="G19" s="154">
        <f t="shared" si="2"/>
        <v>68146.448214954988</v>
      </c>
      <c r="H19" s="12"/>
      <c r="I19" s="11"/>
      <c r="J19" s="12" t="s">
        <v>80</v>
      </c>
      <c r="K19" s="26">
        <v>0.85</v>
      </c>
      <c r="L19" s="57" t="s">
        <v>81</v>
      </c>
      <c r="M19" s="57"/>
      <c r="N19" s="13"/>
      <c r="P19" s="249">
        <f>E7*U6*V6^(E8+E9)</f>
        <v>321797.60319298174</v>
      </c>
      <c r="Q19" s="249">
        <f>F7*U7*V7^(F8+F9)</f>
        <v>94130.089423829733</v>
      </c>
      <c r="R19" s="249">
        <f>G7*U8*V8^(G8+G9)</f>
        <v>68146.448214954988</v>
      </c>
      <c r="T19" s="239" t="s">
        <v>329</v>
      </c>
      <c r="U19" s="239">
        <v>740650</v>
      </c>
      <c r="V19" s="239">
        <v>0</v>
      </c>
      <c r="W19" s="239">
        <v>7</v>
      </c>
      <c r="X19" s="239">
        <v>540</v>
      </c>
      <c r="Z19" s="239" t="s">
        <v>115</v>
      </c>
      <c r="AA19" s="239">
        <v>216650</v>
      </c>
      <c r="AB19" s="239">
        <v>0</v>
      </c>
      <c r="AC19" s="239">
        <v>7</v>
      </c>
      <c r="AD19" s="239">
        <v>40</v>
      </c>
      <c r="AE19" s="239">
        <v>3.8</v>
      </c>
      <c r="AF19" s="239">
        <v>0.7</v>
      </c>
      <c r="AG19" s="239">
        <v>1890</v>
      </c>
      <c r="AI19" s="239"/>
      <c r="AJ19" s="286" t="s">
        <v>429</v>
      </c>
      <c r="AK19" s="286"/>
      <c r="AL19" s="286"/>
      <c r="AM19" s="286" t="s">
        <v>430</v>
      </c>
      <c r="AN19" s="286"/>
      <c r="AO19" s="286"/>
      <c r="AQ19" s="239"/>
      <c r="AR19" s="286" t="s">
        <v>431</v>
      </c>
      <c r="AS19" s="286"/>
      <c r="AT19" s="286"/>
      <c r="AU19" s="286" t="s">
        <v>432</v>
      </c>
      <c r="AV19" s="286"/>
      <c r="AW19" s="286"/>
      <c r="AY19" s="239"/>
      <c r="AZ19" s="286" t="s">
        <v>433</v>
      </c>
      <c r="BA19" s="286"/>
      <c r="BB19" s="286"/>
      <c r="BC19" s="286" t="s">
        <v>434</v>
      </c>
      <c r="BD19" s="286"/>
      <c r="BE19" s="286"/>
    </row>
    <row r="20" spans="2:57" ht="13.25" customHeight="1">
      <c r="B20" s="11"/>
      <c r="C20" s="12" t="s">
        <v>36</v>
      </c>
      <c r="D20" s="12"/>
      <c r="E20" s="12"/>
      <c r="F20" s="184">
        <f>Q20</f>
        <v>12.9</v>
      </c>
      <c r="G20" s="184">
        <f>R20</f>
        <v>19.5</v>
      </c>
      <c r="H20" s="13"/>
      <c r="I20" s="11"/>
      <c r="J20" s="12" t="s">
        <v>82</v>
      </c>
      <c r="K20" s="69">
        <v>5.5E-2</v>
      </c>
      <c r="L20" s="12" t="s">
        <v>83</v>
      </c>
      <c r="M20" s="12"/>
      <c r="N20" s="13"/>
      <c r="Q20" s="239">
        <f>ROUND((F11*F12*5280*F13)/43560,1)</f>
        <v>12.9</v>
      </c>
      <c r="R20" s="239">
        <f>ROUND(G11*G12*5280*G13/43560,1)</f>
        <v>19.5</v>
      </c>
      <c r="Z20" s="239" t="s">
        <v>330</v>
      </c>
      <c r="AA20" s="239">
        <v>65850</v>
      </c>
      <c r="AB20" s="239">
        <v>0</v>
      </c>
      <c r="AC20" s="239">
        <v>7</v>
      </c>
      <c r="AD20" s="239">
        <v>30</v>
      </c>
      <c r="AE20" s="239">
        <v>3.8</v>
      </c>
      <c r="AF20" s="239">
        <v>0.73</v>
      </c>
      <c r="AG20" s="239">
        <v>760</v>
      </c>
      <c r="AI20" s="239">
        <v>0</v>
      </c>
      <c r="AJ20" s="249">
        <f>E7*K19*K20</f>
        <v>34625.387499999997</v>
      </c>
      <c r="AK20" s="249">
        <f>AJ20</f>
        <v>34625.387499999997</v>
      </c>
      <c r="AL20" s="249">
        <f>AK20/$E$9</f>
        <v>4946.4839285714279</v>
      </c>
      <c r="AM20" s="249">
        <f>E7*K19*K21</f>
        <v>6295.5250000000005</v>
      </c>
      <c r="AN20" s="249">
        <f>AM20</f>
        <v>6295.5250000000005</v>
      </c>
      <c r="AO20" s="249">
        <f>AN20/$E$9</f>
        <v>899.36071428571438</v>
      </c>
      <c r="AQ20" s="239">
        <v>0</v>
      </c>
      <c r="AR20" s="249">
        <f>F7*K19*K20</f>
        <v>10128.387500000001</v>
      </c>
      <c r="AS20" s="249">
        <f>AR20</f>
        <v>10128.387500000001</v>
      </c>
      <c r="AT20" s="249">
        <f>AS20/$F$9</f>
        <v>1446.9125000000001</v>
      </c>
      <c r="AU20" s="249">
        <f>F7*K19*K21</f>
        <v>1841.5250000000001</v>
      </c>
      <c r="AV20" s="249">
        <f>AU20</f>
        <v>1841.5250000000001</v>
      </c>
      <c r="AW20" s="249">
        <f>AV20/$F$9</f>
        <v>263.07499999999999</v>
      </c>
      <c r="AY20" s="239">
        <v>0</v>
      </c>
      <c r="AZ20" s="249">
        <f>G7*K19*K20</f>
        <v>7332.5505000000003</v>
      </c>
      <c r="BA20" s="249">
        <f>AZ20</f>
        <v>7332.5505000000003</v>
      </c>
      <c r="BB20" s="249">
        <f>BA20/$G$9</f>
        <v>1047.5072142857143</v>
      </c>
      <c r="BC20" s="249">
        <f>G7*K19*K21</f>
        <v>1333.191</v>
      </c>
      <c r="BD20" s="249">
        <f>BC20</f>
        <v>1333.191</v>
      </c>
      <c r="BE20" s="249">
        <f>BD20/$G$9</f>
        <v>190.45585714285716</v>
      </c>
    </row>
    <row r="21" spans="2:57" ht="13.25" customHeight="1">
      <c r="B21" s="11"/>
      <c r="C21" s="12" t="s">
        <v>195</v>
      </c>
      <c r="D21" s="12"/>
      <c r="E21" s="12"/>
      <c r="F21" s="184">
        <f>Q21</f>
        <v>23.7</v>
      </c>
      <c r="G21" s="184">
        <f>R21</f>
        <v>23.7</v>
      </c>
      <c r="H21" s="13"/>
      <c r="I21" s="11"/>
      <c r="J21" s="12" t="s">
        <v>84</v>
      </c>
      <c r="K21" s="69">
        <v>0.01</v>
      </c>
      <c r="L21" s="12" t="s">
        <v>83</v>
      </c>
      <c r="M21" s="12"/>
      <c r="N21" s="13"/>
      <c r="P21" s="239">
        <f>ROUND(0.0438*E10,1)</f>
        <v>23.7</v>
      </c>
      <c r="Q21" s="239">
        <f>P21</f>
        <v>23.7</v>
      </c>
      <c r="R21" s="239">
        <f>P21</f>
        <v>23.7</v>
      </c>
      <c r="Z21" s="239" t="s">
        <v>293</v>
      </c>
      <c r="AA21" s="239">
        <v>75000</v>
      </c>
      <c r="AB21" s="239">
        <v>0</v>
      </c>
      <c r="AC21" s="239">
        <v>7</v>
      </c>
      <c r="AD21" s="239">
        <v>35</v>
      </c>
      <c r="AE21" s="239">
        <v>3.8</v>
      </c>
      <c r="AF21" s="239">
        <v>0.73</v>
      </c>
      <c r="AG21" s="239">
        <v>1000</v>
      </c>
      <c r="AI21" s="239">
        <v>1</v>
      </c>
      <c r="AJ21" s="249">
        <f>$E$7*$U$6*$V$6^($E$8+AI21)*$K$20</f>
        <v>25655.375350000002</v>
      </c>
      <c r="AK21" s="249">
        <f>AK20+AJ21</f>
        <v>60280.762849999999</v>
      </c>
      <c r="AL21" s="249">
        <f t="shared" ref="AL21:AL70" si="3">AK21/$E$9</f>
        <v>8611.5375499999991</v>
      </c>
      <c r="AM21" s="249">
        <f>$E$7*$U$6*$V$6^($E$8+AI21)*$K$21</f>
        <v>4664.6137000000008</v>
      </c>
      <c r="AN21" s="249">
        <f>AN20+AM21</f>
        <v>10960.138700000001</v>
      </c>
      <c r="AO21" s="249">
        <f t="shared" ref="AO21:AO70" si="4">AN21/$E$9</f>
        <v>1565.7341000000001</v>
      </c>
      <c r="AQ21" s="239">
        <v>1</v>
      </c>
      <c r="AR21" s="249">
        <f>$F$7*$U$7*$V$7^($F$8+AQ21)*$K$20</f>
        <v>7504.5393499999991</v>
      </c>
      <c r="AS21" s="249">
        <f>AS20+AR21</f>
        <v>17632.92685</v>
      </c>
      <c r="AT21" s="249">
        <f t="shared" ref="AT21:AT70" si="5">AS21/$F$9</f>
        <v>2518.9895499999998</v>
      </c>
      <c r="AU21" s="249">
        <f>$F$7*$U$7*$V$7^($F$8+AQ21)*$K$21</f>
        <v>1364.4616999999998</v>
      </c>
      <c r="AV21" s="249">
        <f>AV20+AU21</f>
        <v>3205.9866999999999</v>
      </c>
      <c r="AW21" s="249">
        <f t="shared" ref="AW21:AW70" si="6">AV21/$F$9</f>
        <v>457.99809999999997</v>
      </c>
      <c r="AY21" s="239">
        <v>1</v>
      </c>
      <c r="AZ21" s="249">
        <f>$G$7*$U$8*$V$8^($G$8+AY21)*$K$20</f>
        <v>5432.9885939999995</v>
      </c>
      <c r="BA21" s="249">
        <f>BA20+AZ21</f>
        <v>12765.539094</v>
      </c>
      <c r="BB21" s="249">
        <f t="shared" ref="BB21:BB70" si="7">BA21/$G$9</f>
        <v>1823.6484419999999</v>
      </c>
      <c r="BC21" s="249">
        <f>$G$7*$U$8*$V$8^($G$8+AY21)*$K$21</f>
        <v>987.81610799999999</v>
      </c>
      <c r="BD21" s="249">
        <f>BD20+BC21</f>
        <v>2321.0071079999998</v>
      </c>
      <c r="BE21" s="249">
        <f t="shared" ref="BE21:BE70" si="8">BD21/$G$9</f>
        <v>331.57244399999996</v>
      </c>
    </row>
    <row r="22" spans="2:57" ht="13.25" customHeight="1">
      <c r="B22" s="11"/>
      <c r="C22" s="12" t="s">
        <v>220</v>
      </c>
      <c r="D22" s="12"/>
      <c r="E22" s="12"/>
      <c r="F22" s="185">
        <f>ROUND(F21/F20,2)</f>
        <v>1.84</v>
      </c>
      <c r="G22" s="185">
        <f>ROUND(G21/G20,2)</f>
        <v>1.22</v>
      </c>
      <c r="H22" s="13"/>
      <c r="I22" s="11"/>
      <c r="J22" s="12" t="s">
        <v>93</v>
      </c>
      <c r="K22" s="70">
        <v>3.5</v>
      </c>
      <c r="L22" s="12" t="s">
        <v>85</v>
      </c>
      <c r="M22" s="12"/>
      <c r="N22" s="13"/>
      <c r="Z22" s="239" t="s">
        <v>435</v>
      </c>
      <c r="AA22" s="239">
        <v>131324</v>
      </c>
      <c r="AB22" s="239">
        <v>0</v>
      </c>
      <c r="AC22" s="239">
        <v>7</v>
      </c>
      <c r="AD22" s="239">
        <v>30</v>
      </c>
      <c r="AE22" s="239">
        <v>5.5</v>
      </c>
      <c r="AF22" s="239">
        <v>0.73</v>
      </c>
      <c r="AG22" s="239">
        <v>760</v>
      </c>
      <c r="AI22" s="239">
        <v>2</v>
      </c>
      <c r="AJ22" s="249">
        <f t="shared" ref="AJ22:AJ70" si="9">$E$7*$U$6*$V$6^($E$8+AI22)*$K$20</f>
        <v>24116.052829</v>
      </c>
      <c r="AK22" s="249">
        <f t="shared" ref="AK22:AK70" si="10">AK21+AJ22</f>
        <v>84396.815678999992</v>
      </c>
      <c r="AL22" s="249">
        <f t="shared" si="3"/>
        <v>12056.687954142855</v>
      </c>
      <c r="AM22" s="249">
        <f t="shared" ref="AM22:AM70" si="11">$E$7*$U$6*$V$6^($E$8+AI22)*$K$21</f>
        <v>4384.7368780000006</v>
      </c>
      <c r="AN22" s="249">
        <f t="shared" ref="AN22:AN70" si="12">AN21+AM22</f>
        <v>15344.875578000003</v>
      </c>
      <c r="AO22" s="249">
        <f t="shared" si="4"/>
        <v>2192.1250825714292</v>
      </c>
      <c r="AQ22" s="239">
        <v>2</v>
      </c>
      <c r="AR22" s="249">
        <f t="shared" ref="AR22:AR70" si="13">$F$7*$U$7*$V$7^($F$8+AQ22)*$K$20</f>
        <v>7054.2669889999988</v>
      </c>
      <c r="AS22" s="249">
        <f t="shared" ref="AS22:AS70" si="14">AS21+AR22</f>
        <v>24687.193839</v>
      </c>
      <c r="AT22" s="249">
        <f t="shared" si="5"/>
        <v>3526.7419770000001</v>
      </c>
      <c r="AU22" s="249">
        <f t="shared" ref="AU22:AU70" si="15">$F$7*$U$7*$V$7^($F$8+AQ22)*$K$21</f>
        <v>1282.5939979999998</v>
      </c>
      <c r="AV22" s="249">
        <f t="shared" ref="AV22:AV70" si="16">AV21+AU22</f>
        <v>4488.5806979999998</v>
      </c>
      <c r="AW22" s="249">
        <f t="shared" si="6"/>
        <v>641.22581400000001</v>
      </c>
      <c r="AY22" s="239">
        <v>2</v>
      </c>
      <c r="AZ22" s="249">
        <f t="shared" ref="AZ22:AZ70" si="17">$G$7*$U$8*$V$8^($G$8+AY22)*$K$20</f>
        <v>5107.0092783600003</v>
      </c>
      <c r="BA22" s="249">
        <f t="shared" ref="BA22:BA70" si="18">BA21+AZ22</f>
        <v>17872.548372360001</v>
      </c>
      <c r="BB22" s="249">
        <f t="shared" si="7"/>
        <v>2553.2211960514287</v>
      </c>
      <c r="BC22" s="249">
        <f t="shared" ref="BC22:BC70" si="19">$G$7*$U$8*$V$8^($G$8+AY22)*$K$21</f>
        <v>928.54714151999997</v>
      </c>
      <c r="BD22" s="249">
        <f t="shared" ref="BD22:BD70" si="20">BD21+BC22</f>
        <v>3249.5542495199998</v>
      </c>
      <c r="BE22" s="249">
        <f t="shared" si="8"/>
        <v>464.22203564571424</v>
      </c>
    </row>
    <row r="23" spans="2:57" ht="13.25" customHeight="1">
      <c r="B23" s="11"/>
      <c r="C23" s="12" t="s">
        <v>224</v>
      </c>
      <c r="D23" s="12"/>
      <c r="E23" s="12"/>
      <c r="F23" s="153">
        <f t="shared" ref="F23:G25" si="21">Q23</f>
        <v>147</v>
      </c>
      <c r="G23" s="153">
        <f t="shared" si="21"/>
        <v>65</v>
      </c>
      <c r="H23" s="13"/>
      <c r="I23" s="11"/>
      <c r="J23" s="59" t="s">
        <v>86</v>
      </c>
      <c r="K23" s="26">
        <v>0.1</v>
      </c>
      <c r="L23" s="12" t="s">
        <v>87</v>
      </c>
      <c r="M23" s="12"/>
      <c r="N23" s="13"/>
      <c r="Q23" s="239">
        <f>ROUND(F14/Q20,0)</f>
        <v>147</v>
      </c>
      <c r="R23" s="239">
        <f>ROUND(G14/R20,0)</f>
        <v>65</v>
      </c>
      <c r="Z23" s="239" t="s">
        <v>436</v>
      </c>
      <c r="AA23" s="239">
        <v>137223</v>
      </c>
      <c r="AB23" s="239">
        <v>0</v>
      </c>
      <c r="AC23" s="239">
        <v>7</v>
      </c>
      <c r="AD23" s="239">
        <v>35</v>
      </c>
      <c r="AE23" s="239">
        <v>5.5</v>
      </c>
      <c r="AF23" s="239">
        <v>0.73</v>
      </c>
      <c r="AG23" s="239">
        <v>1000</v>
      </c>
      <c r="AI23" s="239">
        <v>3</v>
      </c>
      <c r="AJ23" s="249">
        <f t="shared" si="9"/>
        <v>22669.08965926</v>
      </c>
      <c r="AK23" s="249">
        <f t="shared" si="10"/>
        <v>107065.90533826</v>
      </c>
      <c r="AL23" s="249">
        <f t="shared" si="3"/>
        <v>15295.129334037143</v>
      </c>
      <c r="AM23" s="249">
        <f t="shared" si="11"/>
        <v>4121.6526653199999</v>
      </c>
      <c r="AN23" s="249">
        <f t="shared" si="12"/>
        <v>19466.528243320005</v>
      </c>
      <c r="AO23" s="249">
        <f t="shared" si="4"/>
        <v>2780.9326061885722</v>
      </c>
      <c r="AQ23" s="239">
        <v>3</v>
      </c>
      <c r="AR23" s="249">
        <f t="shared" si="13"/>
        <v>6631.0109696599984</v>
      </c>
      <c r="AS23" s="249">
        <f t="shared" si="14"/>
        <v>31318.204808659997</v>
      </c>
      <c r="AT23" s="249">
        <f t="shared" si="5"/>
        <v>4474.0292583799992</v>
      </c>
      <c r="AU23" s="249">
        <f t="shared" si="15"/>
        <v>1205.6383581199998</v>
      </c>
      <c r="AV23" s="249">
        <f t="shared" si="16"/>
        <v>5694.2190561199995</v>
      </c>
      <c r="AW23" s="249">
        <f t="shared" si="6"/>
        <v>813.45986515999994</v>
      </c>
      <c r="AY23" s="239">
        <v>3</v>
      </c>
      <c r="AZ23" s="249">
        <f t="shared" si="17"/>
        <v>4800.5887216583997</v>
      </c>
      <c r="BA23" s="249">
        <f t="shared" si="18"/>
        <v>22673.137094018399</v>
      </c>
      <c r="BB23" s="249">
        <f t="shared" si="7"/>
        <v>3239.0195848597714</v>
      </c>
      <c r="BC23" s="249">
        <f t="shared" si="19"/>
        <v>872.83431302880001</v>
      </c>
      <c r="BD23" s="249">
        <f t="shared" si="20"/>
        <v>4122.3885625488001</v>
      </c>
      <c r="BE23" s="249">
        <f t="shared" si="8"/>
        <v>588.91265179268578</v>
      </c>
    </row>
    <row r="24" spans="2:57" ht="13.25" customHeight="1">
      <c r="B24" s="11"/>
      <c r="C24" s="12" t="s">
        <v>217</v>
      </c>
      <c r="D24" s="12"/>
      <c r="E24" s="12"/>
      <c r="F24" s="153">
        <f t="shared" si="21"/>
        <v>191</v>
      </c>
      <c r="G24" s="153">
        <f t="shared" si="21"/>
        <v>85</v>
      </c>
      <c r="H24" s="13"/>
      <c r="I24" s="11" t="s">
        <v>225</v>
      </c>
      <c r="J24" s="57" t="s">
        <v>89</v>
      </c>
      <c r="K24" s="70">
        <v>21</v>
      </c>
      <c r="L24" s="12" t="s">
        <v>90</v>
      </c>
      <c r="M24" s="12"/>
      <c r="N24" s="13"/>
      <c r="Q24" s="239">
        <f>ROUND(Q23*1.3,0)</f>
        <v>191</v>
      </c>
      <c r="R24" s="239">
        <f>ROUND(R23*1.3,0)</f>
        <v>85</v>
      </c>
      <c r="Z24" s="239" t="s">
        <v>437</v>
      </c>
      <c r="AA24" s="239">
        <v>156846</v>
      </c>
      <c r="AB24" s="239">
        <v>0</v>
      </c>
      <c r="AC24" s="239">
        <v>7</v>
      </c>
      <c r="AD24" s="239">
        <v>40</v>
      </c>
      <c r="AE24" s="239">
        <v>5.5</v>
      </c>
      <c r="AF24" s="239">
        <v>0.73</v>
      </c>
      <c r="AG24" s="239">
        <v>1260</v>
      </c>
      <c r="AI24" s="239">
        <v>4</v>
      </c>
      <c r="AJ24" s="249">
        <f t="shared" si="9"/>
        <v>21308.944279704399</v>
      </c>
      <c r="AK24" s="249">
        <f t="shared" si="10"/>
        <v>128374.8496179644</v>
      </c>
      <c r="AL24" s="249">
        <f t="shared" si="3"/>
        <v>18339.264231137771</v>
      </c>
      <c r="AM24" s="249">
        <f t="shared" si="11"/>
        <v>3874.3535054007998</v>
      </c>
      <c r="AN24" s="249">
        <f t="shared" si="12"/>
        <v>23340.881748720803</v>
      </c>
      <c r="AO24" s="249">
        <f t="shared" si="4"/>
        <v>3334.4116783886861</v>
      </c>
      <c r="AQ24" s="239">
        <v>4</v>
      </c>
      <c r="AR24" s="249">
        <f t="shared" si="13"/>
        <v>6233.1503114804</v>
      </c>
      <c r="AS24" s="249">
        <f t="shared" si="14"/>
        <v>37551.355120140397</v>
      </c>
      <c r="AT24" s="249">
        <f t="shared" si="5"/>
        <v>5364.4793028771992</v>
      </c>
      <c r="AU24" s="249">
        <f t="shared" si="15"/>
        <v>1133.3000566328001</v>
      </c>
      <c r="AV24" s="249">
        <f t="shared" si="16"/>
        <v>6827.5191127527996</v>
      </c>
      <c r="AW24" s="249">
        <f t="shared" si="6"/>
        <v>975.35987325039991</v>
      </c>
      <c r="AY24" s="239">
        <v>4</v>
      </c>
      <c r="AZ24" s="249">
        <f t="shared" si="17"/>
        <v>4512.5533983588957</v>
      </c>
      <c r="BA24" s="249">
        <f t="shared" si="18"/>
        <v>27185.690492377296</v>
      </c>
      <c r="BB24" s="249">
        <f t="shared" si="7"/>
        <v>3883.6700703396136</v>
      </c>
      <c r="BC24" s="249">
        <f t="shared" si="19"/>
        <v>820.46425424707195</v>
      </c>
      <c r="BD24" s="249">
        <f t="shared" si="20"/>
        <v>4942.8528167958721</v>
      </c>
      <c r="BE24" s="249">
        <f t="shared" si="8"/>
        <v>706.12183097083891</v>
      </c>
    </row>
    <row r="25" spans="2:57" ht="13.25" customHeight="1">
      <c r="B25" s="11"/>
      <c r="C25" s="12" t="s">
        <v>219</v>
      </c>
      <c r="D25" s="12"/>
      <c r="E25" s="154">
        <f>P25</f>
        <v>9696</v>
      </c>
      <c r="F25" s="154">
        <f t="shared" si="21"/>
        <v>1315</v>
      </c>
      <c r="G25" s="154">
        <f t="shared" si="21"/>
        <v>171</v>
      </c>
      <c r="H25" s="13"/>
      <c r="I25" s="11"/>
      <c r="J25" s="59" t="s">
        <v>91</v>
      </c>
      <c r="K25" s="26">
        <v>1.1000000000000001</v>
      </c>
      <c r="L25" s="12" t="s">
        <v>92</v>
      </c>
      <c r="M25" s="12"/>
      <c r="N25" s="13"/>
      <c r="P25" s="239">
        <f>ROUND((P27-P26)/E9,0)</f>
        <v>9696</v>
      </c>
      <c r="Q25" s="239">
        <f>ROUND((Q27-Q26)/F9,0)</f>
        <v>1315</v>
      </c>
      <c r="R25" s="239">
        <f>ROUND((R27-R26)/G9,0)</f>
        <v>171</v>
      </c>
      <c r="AI25" s="239">
        <v>5</v>
      </c>
      <c r="AJ25" s="249">
        <f t="shared" si="9"/>
        <v>20030.407622922135</v>
      </c>
      <c r="AK25" s="249">
        <f t="shared" si="10"/>
        <v>148405.25724088654</v>
      </c>
      <c r="AL25" s="249">
        <f t="shared" si="3"/>
        <v>21200.751034412362</v>
      </c>
      <c r="AM25" s="249">
        <f t="shared" si="11"/>
        <v>3641.8922950767519</v>
      </c>
      <c r="AN25" s="249">
        <f t="shared" si="12"/>
        <v>26982.774043797555</v>
      </c>
      <c r="AO25" s="249">
        <f t="shared" si="4"/>
        <v>3854.6820062567936</v>
      </c>
      <c r="AQ25" s="239">
        <v>5</v>
      </c>
      <c r="AR25" s="249">
        <f t="shared" si="13"/>
        <v>5859.1612927915749</v>
      </c>
      <c r="AS25" s="249">
        <f t="shared" si="14"/>
        <v>43410.516412931975</v>
      </c>
      <c r="AT25" s="249">
        <f t="shared" si="5"/>
        <v>6201.5023447045678</v>
      </c>
      <c r="AU25" s="249">
        <f t="shared" si="15"/>
        <v>1065.3020532348319</v>
      </c>
      <c r="AV25" s="249">
        <f t="shared" si="16"/>
        <v>7892.8211659876315</v>
      </c>
      <c r="AW25" s="249">
        <f t="shared" si="6"/>
        <v>1127.545880855376</v>
      </c>
      <c r="AY25" s="239">
        <v>5</v>
      </c>
      <c r="AZ25" s="249">
        <f t="shared" si="17"/>
        <v>4241.8001944573616</v>
      </c>
      <c r="BA25" s="249">
        <f t="shared" si="18"/>
        <v>31427.490686834659</v>
      </c>
      <c r="BB25" s="249">
        <f t="shared" si="7"/>
        <v>4489.6415266906652</v>
      </c>
      <c r="BC25" s="249">
        <f t="shared" si="19"/>
        <v>771.23639899224759</v>
      </c>
      <c r="BD25" s="249">
        <f t="shared" si="20"/>
        <v>5714.0892157881199</v>
      </c>
      <c r="BE25" s="249">
        <f t="shared" si="8"/>
        <v>816.29845939830284</v>
      </c>
    </row>
    <row r="26" spans="2:57" ht="13.25" customHeight="1">
      <c r="B26" s="14"/>
      <c r="C26" s="15"/>
      <c r="D26" s="15"/>
      <c r="E26" s="15"/>
      <c r="F26" s="15"/>
      <c r="G26" s="15"/>
      <c r="H26" s="16"/>
      <c r="I26" s="14"/>
      <c r="J26" s="100"/>
      <c r="K26" s="101"/>
      <c r="L26" s="15"/>
      <c r="M26" s="15"/>
      <c r="N26" s="16"/>
      <c r="P26" s="239">
        <f>IF(E8=0,0,(E7*W6*((F23+G23)*E8/1000)^X6)/E8*E8)</f>
        <v>0</v>
      </c>
      <c r="Q26" s="239">
        <f>IF(F8=0,0,(F7*W7*(F23*F8/1000)^X7)/F8*F8)</f>
        <v>0</v>
      </c>
      <c r="R26" s="239">
        <f>IF(G8=0,0,(G7*W8*(G23*G8/1000)^X8)/G8*G8)</f>
        <v>0</v>
      </c>
      <c r="AI26" s="239">
        <v>6</v>
      </c>
      <c r="AJ26" s="249">
        <f t="shared" si="9"/>
        <v>18828.58316554681</v>
      </c>
      <c r="AK26" s="249">
        <f t="shared" si="10"/>
        <v>167233.84040643336</v>
      </c>
      <c r="AL26" s="249">
        <f t="shared" si="3"/>
        <v>23890.54862949048</v>
      </c>
      <c r="AM26" s="249">
        <f t="shared" si="11"/>
        <v>3423.378757372147</v>
      </c>
      <c r="AN26" s="249">
        <f t="shared" si="12"/>
        <v>30406.152801169701</v>
      </c>
      <c r="AO26" s="249">
        <f t="shared" si="4"/>
        <v>4343.736114452814</v>
      </c>
      <c r="AQ26" s="239">
        <v>6</v>
      </c>
      <c r="AR26" s="249">
        <f t="shared" si="13"/>
        <v>5507.6116152240811</v>
      </c>
      <c r="AS26" s="249">
        <f t="shared" si="14"/>
        <v>48918.128028156054</v>
      </c>
      <c r="AT26" s="249">
        <f t="shared" si="5"/>
        <v>6988.3040040222932</v>
      </c>
      <c r="AU26" s="249">
        <f t="shared" si="15"/>
        <v>1001.383930040742</v>
      </c>
      <c r="AV26" s="249">
        <f t="shared" si="16"/>
        <v>8894.2050960283741</v>
      </c>
      <c r="AW26" s="249">
        <f t="shared" si="6"/>
        <v>1270.6007280040535</v>
      </c>
      <c r="AY26" s="239">
        <v>6</v>
      </c>
      <c r="AZ26" s="249">
        <f t="shared" si="17"/>
        <v>3987.2921827899208</v>
      </c>
      <c r="BA26" s="249">
        <f t="shared" si="18"/>
        <v>35414.782869624578</v>
      </c>
      <c r="BB26" s="249">
        <f t="shared" si="7"/>
        <v>5059.2546956606539</v>
      </c>
      <c r="BC26" s="249">
        <f t="shared" si="19"/>
        <v>724.96221505271285</v>
      </c>
      <c r="BD26" s="249">
        <f t="shared" si="20"/>
        <v>6439.0514308408328</v>
      </c>
      <c r="BE26" s="249">
        <f t="shared" si="8"/>
        <v>919.86449012011894</v>
      </c>
    </row>
    <row r="27" spans="2:57" ht="13.25" customHeight="1">
      <c r="B27" s="75"/>
      <c r="C27" s="68" t="s">
        <v>154</v>
      </c>
      <c r="D27" s="77"/>
      <c r="E27" s="77"/>
      <c r="F27" s="77" t="s">
        <v>54</v>
      </c>
      <c r="G27" s="77"/>
      <c r="H27" s="78"/>
      <c r="I27" s="75"/>
      <c r="J27" s="106" t="s">
        <v>157</v>
      </c>
      <c r="K27" s="76"/>
      <c r="L27" s="76"/>
      <c r="M27" s="76"/>
      <c r="N27" s="78"/>
      <c r="P27" s="249">
        <f>(E7*W6*((F23+G23)*(E8+E9)/1000)^X6)/(E8+E9)*(E8+E9)</f>
        <v>67870.994126935591</v>
      </c>
      <c r="Q27" s="249">
        <f>(F7*W7*(F23*(F8+F9)/1000)^X7)/(F8+F9)*(F8+F9)</f>
        <v>9202.1852470823469</v>
      </c>
      <c r="R27" s="249">
        <f>(G7*W8*(G23*(G8+G9)/1000)^X8)/(G8+G9)*(G8+G9)</f>
        <v>1200.4867521073277</v>
      </c>
      <c r="AI27" s="239">
        <v>7</v>
      </c>
      <c r="AJ27" s="249">
        <f t="shared" si="9"/>
        <v>17698.868175613996</v>
      </c>
      <c r="AK27" s="249">
        <f t="shared" si="10"/>
        <v>184932.70858204734</v>
      </c>
      <c r="AL27" s="249">
        <f t="shared" si="3"/>
        <v>26418.958368863907</v>
      </c>
      <c r="AM27" s="249">
        <f t="shared" si="11"/>
        <v>3217.9760319298175</v>
      </c>
      <c r="AN27" s="249">
        <f t="shared" si="12"/>
        <v>33624.128833099516</v>
      </c>
      <c r="AO27" s="249">
        <f t="shared" si="4"/>
        <v>4803.4469761570735</v>
      </c>
      <c r="AQ27" s="239">
        <v>7</v>
      </c>
      <c r="AR27" s="249">
        <f t="shared" si="13"/>
        <v>5177.1549183106354</v>
      </c>
      <c r="AS27" s="249">
        <f t="shared" si="14"/>
        <v>54095.282946466687</v>
      </c>
      <c r="AT27" s="249">
        <f t="shared" si="5"/>
        <v>7727.8975637809554</v>
      </c>
      <c r="AU27" s="249">
        <f t="shared" si="15"/>
        <v>941.30089423829736</v>
      </c>
      <c r="AV27" s="249">
        <f t="shared" si="16"/>
        <v>9835.5059902666708</v>
      </c>
      <c r="AW27" s="249">
        <f t="shared" si="6"/>
        <v>1405.0722843238102</v>
      </c>
      <c r="AY27" s="239">
        <v>7</v>
      </c>
      <c r="AZ27" s="249">
        <f t="shared" si="17"/>
        <v>3748.0546518225242</v>
      </c>
      <c r="BA27" s="249">
        <f t="shared" si="18"/>
        <v>39162.837521447102</v>
      </c>
      <c r="BB27" s="249">
        <f t="shared" si="7"/>
        <v>5594.6910744924435</v>
      </c>
      <c r="BC27" s="249">
        <f t="shared" si="19"/>
        <v>681.46448214954989</v>
      </c>
      <c r="BD27" s="249">
        <f t="shared" si="20"/>
        <v>7120.5159129903823</v>
      </c>
      <c r="BE27" s="249">
        <f t="shared" si="8"/>
        <v>1017.2165589986261</v>
      </c>
    </row>
    <row r="28" spans="2:57" ht="13.25" customHeight="1">
      <c r="B28" s="75"/>
      <c r="C28" s="76"/>
      <c r="D28" s="77" t="s">
        <v>61</v>
      </c>
      <c r="E28" s="77" t="s">
        <v>147</v>
      </c>
      <c r="F28" s="77" t="s">
        <v>149</v>
      </c>
      <c r="G28" s="77"/>
      <c r="H28" s="78"/>
      <c r="I28" s="75"/>
      <c r="J28" s="76"/>
      <c r="K28" s="77" t="s">
        <v>61</v>
      </c>
      <c r="L28" s="77" t="s">
        <v>145</v>
      </c>
      <c r="M28" s="76"/>
      <c r="N28" s="78"/>
      <c r="AI28" s="239">
        <v>8</v>
      </c>
      <c r="AJ28" s="249">
        <f t="shared" si="9"/>
        <v>16636.936085077159</v>
      </c>
      <c r="AK28" s="249">
        <f t="shared" si="10"/>
        <v>201569.64466712449</v>
      </c>
      <c r="AL28" s="249">
        <f t="shared" si="3"/>
        <v>28795.663523874926</v>
      </c>
      <c r="AM28" s="249">
        <f t="shared" si="11"/>
        <v>3024.8974700140288</v>
      </c>
      <c r="AN28" s="249">
        <f t="shared" si="12"/>
        <v>36649.026303113547</v>
      </c>
      <c r="AO28" s="249">
        <f t="shared" si="4"/>
        <v>5235.5751861590779</v>
      </c>
      <c r="AQ28" s="239">
        <v>8</v>
      </c>
      <c r="AR28" s="249">
        <f t="shared" si="13"/>
        <v>4866.5256232119982</v>
      </c>
      <c r="AS28" s="249">
        <f t="shared" si="14"/>
        <v>58961.808569678687</v>
      </c>
      <c r="AT28" s="249">
        <f t="shared" si="5"/>
        <v>8423.1155099540974</v>
      </c>
      <c r="AU28" s="249">
        <f t="shared" si="15"/>
        <v>884.82284058399966</v>
      </c>
      <c r="AV28" s="249">
        <f t="shared" si="16"/>
        <v>10720.328830850671</v>
      </c>
      <c r="AW28" s="249">
        <f t="shared" si="6"/>
        <v>1531.4755472643815</v>
      </c>
      <c r="AY28" s="239">
        <v>8</v>
      </c>
      <c r="AZ28" s="249">
        <f t="shared" si="17"/>
        <v>3523.1713727131732</v>
      </c>
      <c r="BA28" s="249">
        <f t="shared" si="18"/>
        <v>42686.008894160273</v>
      </c>
      <c r="BB28" s="249">
        <f t="shared" si="7"/>
        <v>6098.0012705943245</v>
      </c>
      <c r="BC28" s="249">
        <f t="shared" si="19"/>
        <v>640.57661322057697</v>
      </c>
      <c r="BD28" s="249">
        <f t="shared" si="20"/>
        <v>7761.0925262109595</v>
      </c>
      <c r="BE28" s="249">
        <f t="shared" si="8"/>
        <v>1108.7275037444228</v>
      </c>
    </row>
    <row r="29" spans="2:57" ht="13.25" customHeight="1">
      <c r="B29" s="75"/>
      <c r="C29" s="79"/>
      <c r="D29" s="80" t="s">
        <v>144</v>
      </c>
      <c r="E29" s="80" t="s">
        <v>148</v>
      </c>
      <c r="F29" s="80" t="s">
        <v>150</v>
      </c>
      <c r="G29" s="80" t="s">
        <v>107</v>
      </c>
      <c r="H29" s="78"/>
      <c r="I29" s="75"/>
      <c r="J29" s="79"/>
      <c r="K29" s="80" t="s">
        <v>144</v>
      </c>
      <c r="L29" s="80" t="s">
        <v>148</v>
      </c>
      <c r="M29" s="80" t="s">
        <v>158</v>
      </c>
      <c r="N29" s="78"/>
      <c r="AI29" s="239">
        <v>9</v>
      </c>
      <c r="AJ29" s="249">
        <f t="shared" si="9"/>
        <v>15638.719919972527</v>
      </c>
      <c r="AK29" s="249">
        <f t="shared" si="10"/>
        <v>217208.36458709702</v>
      </c>
      <c r="AL29" s="249">
        <f t="shared" si="3"/>
        <v>31029.76636958529</v>
      </c>
      <c r="AM29" s="249">
        <f t="shared" si="11"/>
        <v>2843.4036218131869</v>
      </c>
      <c r="AN29" s="249">
        <f t="shared" si="12"/>
        <v>39492.429924926735</v>
      </c>
      <c r="AO29" s="249">
        <f t="shared" si="4"/>
        <v>5641.775703560962</v>
      </c>
      <c r="AQ29" s="239">
        <v>9</v>
      </c>
      <c r="AR29" s="249">
        <f t="shared" si="13"/>
        <v>4574.5340858192767</v>
      </c>
      <c r="AS29" s="249">
        <f t="shared" si="14"/>
        <v>63536.342655497967</v>
      </c>
      <c r="AT29" s="249">
        <f t="shared" si="5"/>
        <v>9076.6203793568529</v>
      </c>
      <c r="AU29" s="249">
        <f t="shared" si="15"/>
        <v>831.73347014895944</v>
      </c>
      <c r="AV29" s="249">
        <f t="shared" si="16"/>
        <v>11552.062300999631</v>
      </c>
      <c r="AW29" s="249">
        <f t="shared" si="6"/>
        <v>1650.2946144285186</v>
      </c>
      <c r="AY29" s="239">
        <v>9</v>
      </c>
      <c r="AZ29" s="249">
        <f t="shared" si="17"/>
        <v>3311.7810903503828</v>
      </c>
      <c r="BA29" s="249">
        <f t="shared" si="18"/>
        <v>45997.789984510659</v>
      </c>
      <c r="BB29" s="249">
        <f t="shared" si="7"/>
        <v>6571.1128549300938</v>
      </c>
      <c r="BC29" s="249">
        <f t="shared" si="19"/>
        <v>602.14201642734236</v>
      </c>
      <c r="BD29" s="249">
        <f t="shared" si="20"/>
        <v>8363.2345426383017</v>
      </c>
      <c r="BE29" s="249">
        <f t="shared" si="8"/>
        <v>1194.7477918054717</v>
      </c>
    </row>
    <row r="30" spans="2:57" ht="13.25" customHeight="1">
      <c r="B30" s="75"/>
      <c r="C30" s="76"/>
      <c r="D30" s="77"/>
      <c r="E30" s="77"/>
      <c r="F30" s="77"/>
      <c r="G30" s="77"/>
      <c r="H30" s="78"/>
      <c r="I30" s="75"/>
      <c r="J30" s="76"/>
      <c r="K30" s="76"/>
      <c r="L30" s="76"/>
      <c r="M30" s="76"/>
      <c r="N30" s="78"/>
      <c r="P30" s="249"/>
      <c r="Q30" s="249"/>
      <c r="R30" s="249"/>
      <c r="AI30" s="239">
        <v>10</v>
      </c>
      <c r="AJ30" s="249">
        <f t="shared" si="9"/>
        <v>14700.396724774177</v>
      </c>
      <c r="AK30" s="249">
        <f t="shared" si="10"/>
        <v>231908.7613118712</v>
      </c>
      <c r="AL30" s="249">
        <f t="shared" si="3"/>
        <v>33129.823044553028</v>
      </c>
      <c r="AM30" s="249">
        <f t="shared" si="11"/>
        <v>2672.7994045043956</v>
      </c>
      <c r="AN30" s="249">
        <f t="shared" si="12"/>
        <v>42165.229329431131</v>
      </c>
      <c r="AO30" s="249">
        <f t="shared" si="4"/>
        <v>6023.604189918733</v>
      </c>
      <c r="AQ30" s="239">
        <v>10</v>
      </c>
      <c r="AR30" s="249">
        <f t="shared" si="13"/>
        <v>4300.062040670121</v>
      </c>
      <c r="AS30" s="249">
        <f t="shared" si="14"/>
        <v>67836.404696168087</v>
      </c>
      <c r="AT30" s="249">
        <f t="shared" si="5"/>
        <v>9690.9149565954413</v>
      </c>
      <c r="AU30" s="249">
        <f t="shared" si="15"/>
        <v>781.82946194002204</v>
      </c>
      <c r="AV30" s="249">
        <f t="shared" si="16"/>
        <v>12333.891762939653</v>
      </c>
      <c r="AW30" s="249">
        <f t="shared" si="6"/>
        <v>1761.9845375628076</v>
      </c>
      <c r="AY30" s="239">
        <v>10</v>
      </c>
      <c r="AZ30" s="249">
        <f t="shared" si="17"/>
        <v>3113.0742249293598</v>
      </c>
      <c r="BA30" s="249">
        <f t="shared" si="18"/>
        <v>49110.86420944002</v>
      </c>
      <c r="BB30" s="249">
        <f t="shared" si="7"/>
        <v>7015.8377442057172</v>
      </c>
      <c r="BC30" s="249">
        <f t="shared" si="19"/>
        <v>566.01349544170182</v>
      </c>
      <c r="BD30" s="249">
        <f t="shared" si="20"/>
        <v>8929.2480380800043</v>
      </c>
      <c r="BE30" s="249">
        <f t="shared" si="8"/>
        <v>1275.6068625828577</v>
      </c>
    </row>
    <row r="31" spans="2:57" ht="13.25" customHeight="1">
      <c r="B31" s="75"/>
      <c r="C31" s="76" t="s">
        <v>98</v>
      </c>
      <c r="D31" s="86">
        <f>ROUND((F18-F19)/F9,0)</f>
        <v>12860</v>
      </c>
      <c r="E31" s="86">
        <f>ROUND((G18-G19)/G9,0)</f>
        <v>9310</v>
      </c>
      <c r="F31" s="86">
        <f>ROUND((E18-E19)/E9,0)</f>
        <v>43965</v>
      </c>
      <c r="G31" s="86">
        <f>SUM(D31:F31)</f>
        <v>66135</v>
      </c>
      <c r="H31" s="78"/>
      <c r="I31" s="75"/>
      <c r="J31" s="76" t="s">
        <v>98</v>
      </c>
      <c r="K31" s="87">
        <f t="shared" ref="K31:K36" si="22">IF($F$23=0,0,ROUND((D31+$F31*F$23/($F$23+$G$23))/F$14,2))</f>
        <v>22.93</v>
      </c>
      <c r="L31" s="87">
        <f t="shared" ref="L31:L36" si="23">IF($G$23=0,0,ROUND((E31+$F31*G$23/($F$23+$G$23))/G$14,2))</f>
        <v>18.09</v>
      </c>
      <c r="M31" s="87">
        <f t="shared" ref="M31:M36" si="24">ROUND((K31*$F$23+L31*$G$23)/($F$23+$G$23),2)</f>
        <v>21.45</v>
      </c>
      <c r="N31" s="78"/>
      <c r="AI31" s="239">
        <v>11</v>
      </c>
      <c r="AJ31" s="249">
        <f t="shared" si="9"/>
        <v>13818.372921287726</v>
      </c>
      <c r="AK31" s="249">
        <f t="shared" si="10"/>
        <v>245727.13423315893</v>
      </c>
      <c r="AL31" s="249">
        <f t="shared" si="3"/>
        <v>35103.876319022704</v>
      </c>
      <c r="AM31" s="249">
        <f t="shared" si="11"/>
        <v>2512.431440234132</v>
      </c>
      <c r="AN31" s="249">
        <f t="shared" si="12"/>
        <v>44677.660769665265</v>
      </c>
      <c r="AO31" s="249">
        <f t="shared" si="4"/>
        <v>6382.5229670950375</v>
      </c>
      <c r="AQ31" s="239">
        <v>11</v>
      </c>
      <c r="AR31" s="249">
        <f t="shared" si="13"/>
        <v>4042.0583182299133</v>
      </c>
      <c r="AS31" s="249">
        <f t="shared" si="14"/>
        <v>71878.463014398003</v>
      </c>
      <c r="AT31" s="249">
        <f t="shared" si="5"/>
        <v>10268.351859199714</v>
      </c>
      <c r="AU31" s="249">
        <f t="shared" si="15"/>
        <v>734.91969422362058</v>
      </c>
      <c r="AV31" s="249">
        <f t="shared" si="16"/>
        <v>13068.811457163274</v>
      </c>
      <c r="AW31" s="249">
        <f t="shared" si="6"/>
        <v>1866.9730653090392</v>
      </c>
      <c r="AY31" s="239">
        <v>11</v>
      </c>
      <c r="AZ31" s="249">
        <f t="shared" si="17"/>
        <v>2926.2897714335982</v>
      </c>
      <c r="BA31" s="249">
        <f t="shared" si="18"/>
        <v>52037.15398087362</v>
      </c>
      <c r="BB31" s="249">
        <f t="shared" si="7"/>
        <v>7433.8791401248027</v>
      </c>
      <c r="BC31" s="249">
        <f t="shared" si="19"/>
        <v>532.05268571519969</v>
      </c>
      <c r="BD31" s="249">
        <f t="shared" si="20"/>
        <v>9461.3007237952042</v>
      </c>
      <c r="BE31" s="249">
        <f t="shared" si="8"/>
        <v>1351.6143891136005</v>
      </c>
    </row>
    <row r="32" spans="2:57" ht="13.25" customHeight="1">
      <c r="B32" s="75"/>
      <c r="C32" s="76" t="s">
        <v>99</v>
      </c>
      <c r="D32" s="81">
        <f>AT17</f>
        <v>6988.3040040222932</v>
      </c>
      <c r="E32" s="81">
        <f>BB17</f>
        <v>5059.2546956606539</v>
      </c>
      <c r="F32" s="81">
        <f>AL17</f>
        <v>23890.54862949048</v>
      </c>
      <c r="G32" s="81">
        <f>SUM(D32:F32)</f>
        <v>35938.107329173428</v>
      </c>
      <c r="H32" s="78"/>
      <c r="I32" s="75"/>
      <c r="J32" s="76" t="s">
        <v>99</v>
      </c>
      <c r="K32" s="89">
        <f t="shared" si="22"/>
        <v>12.46</v>
      </c>
      <c r="L32" s="89">
        <f t="shared" si="23"/>
        <v>9.83</v>
      </c>
      <c r="M32" s="89">
        <f t="shared" si="24"/>
        <v>11.65</v>
      </c>
      <c r="N32" s="78"/>
      <c r="AI32" s="239">
        <v>12</v>
      </c>
      <c r="AJ32" s="249">
        <f t="shared" si="9"/>
        <v>12989.270546010463</v>
      </c>
      <c r="AK32" s="249">
        <f t="shared" si="10"/>
        <v>258716.40477916939</v>
      </c>
      <c r="AL32" s="249">
        <f t="shared" si="3"/>
        <v>36959.4863970242</v>
      </c>
      <c r="AM32" s="249">
        <f t="shared" si="11"/>
        <v>2361.6855538200839</v>
      </c>
      <c r="AN32" s="249">
        <f t="shared" si="12"/>
        <v>47039.346323485348</v>
      </c>
      <c r="AO32" s="249">
        <f t="shared" si="4"/>
        <v>6719.9066176407641</v>
      </c>
      <c r="AQ32" s="239">
        <v>12</v>
      </c>
      <c r="AR32" s="249">
        <f t="shared" si="13"/>
        <v>3799.5348191361186</v>
      </c>
      <c r="AS32" s="249">
        <f t="shared" si="14"/>
        <v>75677.997833534115</v>
      </c>
      <c r="AT32" s="249">
        <f t="shared" si="5"/>
        <v>10811.142547647731</v>
      </c>
      <c r="AU32" s="249">
        <f t="shared" si="15"/>
        <v>690.82451257020341</v>
      </c>
      <c r="AV32" s="249">
        <f t="shared" si="16"/>
        <v>13759.635969733477</v>
      </c>
      <c r="AW32" s="249">
        <f t="shared" si="6"/>
        <v>1965.6622813904967</v>
      </c>
      <c r="AY32" s="239">
        <v>12</v>
      </c>
      <c r="AZ32" s="249">
        <f t="shared" si="17"/>
        <v>2750.7123851475822</v>
      </c>
      <c r="BA32" s="249">
        <f t="shared" si="18"/>
        <v>54787.866366021204</v>
      </c>
      <c r="BB32" s="249">
        <f t="shared" si="7"/>
        <v>7826.8380522887437</v>
      </c>
      <c r="BC32" s="249">
        <f t="shared" si="19"/>
        <v>500.12952457228772</v>
      </c>
      <c r="BD32" s="249">
        <f t="shared" si="20"/>
        <v>9961.4302483674928</v>
      </c>
      <c r="BE32" s="249">
        <f t="shared" si="8"/>
        <v>1423.0614640524989</v>
      </c>
    </row>
    <row r="33" spans="2:57" ht="13.25" customHeight="1">
      <c r="B33" s="75"/>
      <c r="C33" s="76" t="s">
        <v>156</v>
      </c>
      <c r="D33" s="81">
        <f>AW17</f>
        <v>1270.6007280040535</v>
      </c>
      <c r="E33" s="81">
        <f>BE17</f>
        <v>919.86449012011894</v>
      </c>
      <c r="F33" s="81">
        <f>AO17</f>
        <v>4343.736114452814</v>
      </c>
      <c r="G33" s="81">
        <f>SUM(D33:F33)</f>
        <v>6534.2013325769867</v>
      </c>
      <c r="H33" s="78"/>
      <c r="I33" s="75"/>
      <c r="J33" s="76" t="s">
        <v>156</v>
      </c>
      <c r="K33" s="89">
        <f t="shared" si="22"/>
        <v>2.27</v>
      </c>
      <c r="L33" s="89">
        <f t="shared" si="23"/>
        <v>1.79</v>
      </c>
      <c r="M33" s="89">
        <f t="shared" si="24"/>
        <v>2.12</v>
      </c>
      <c r="N33" s="78"/>
      <c r="AI33" s="239">
        <v>13</v>
      </c>
      <c r="AJ33" s="249">
        <f t="shared" si="9"/>
        <v>12209.914313249834</v>
      </c>
      <c r="AK33" s="249">
        <f t="shared" si="10"/>
        <v>270926.31909241923</v>
      </c>
      <c r="AL33" s="249">
        <f t="shared" si="3"/>
        <v>38703.759870345602</v>
      </c>
      <c r="AM33" s="249">
        <f t="shared" si="11"/>
        <v>2219.9844205908789</v>
      </c>
      <c r="AN33" s="249">
        <f t="shared" si="12"/>
        <v>49259.330744076229</v>
      </c>
      <c r="AO33" s="249">
        <f t="shared" si="4"/>
        <v>7037.0472491537466</v>
      </c>
      <c r="AQ33" s="239">
        <v>13</v>
      </c>
      <c r="AR33" s="249">
        <f t="shared" si="13"/>
        <v>3571.5627299879511</v>
      </c>
      <c r="AS33" s="249">
        <f t="shared" si="14"/>
        <v>79249.560563522071</v>
      </c>
      <c r="AT33" s="249">
        <f t="shared" si="5"/>
        <v>11321.365794788868</v>
      </c>
      <c r="AU33" s="249">
        <f t="shared" si="15"/>
        <v>649.37504181599115</v>
      </c>
      <c r="AV33" s="249">
        <f t="shared" si="16"/>
        <v>14409.011011549468</v>
      </c>
      <c r="AW33" s="249">
        <f t="shared" si="6"/>
        <v>2058.4301445070669</v>
      </c>
      <c r="AY33" s="239">
        <v>13</v>
      </c>
      <c r="AZ33" s="249">
        <f t="shared" si="17"/>
        <v>2585.6696420387275</v>
      </c>
      <c r="BA33" s="249">
        <f t="shared" si="18"/>
        <v>57373.536008059935</v>
      </c>
      <c r="BB33" s="249">
        <f t="shared" si="7"/>
        <v>8196.2194297228471</v>
      </c>
      <c r="BC33" s="249">
        <f t="shared" si="19"/>
        <v>470.12175309795043</v>
      </c>
      <c r="BD33" s="249">
        <f t="shared" si="20"/>
        <v>10431.552001465443</v>
      </c>
      <c r="BE33" s="249">
        <f t="shared" si="8"/>
        <v>1490.2217144950632</v>
      </c>
    </row>
    <row r="34" spans="2:57" ht="13.25" customHeight="1">
      <c r="B34" s="75"/>
      <c r="C34" s="76" t="s">
        <v>100</v>
      </c>
      <c r="D34" s="81">
        <f>F25</f>
        <v>1315</v>
      </c>
      <c r="E34" s="81">
        <f>G25</f>
        <v>171</v>
      </c>
      <c r="F34" s="81">
        <f>E25</f>
        <v>9696</v>
      </c>
      <c r="G34" s="81">
        <f>SUM(D34:F34)</f>
        <v>11182</v>
      </c>
      <c r="H34" s="78"/>
      <c r="I34" s="75"/>
      <c r="J34" s="76" t="s">
        <v>100</v>
      </c>
      <c r="K34" s="89">
        <f t="shared" si="22"/>
        <v>4.25</v>
      </c>
      <c r="L34" s="89">
        <f t="shared" si="23"/>
        <v>2.5</v>
      </c>
      <c r="M34" s="89">
        <f t="shared" si="24"/>
        <v>3.71</v>
      </c>
      <c r="N34" s="78"/>
      <c r="AI34" s="239">
        <v>14</v>
      </c>
      <c r="AJ34" s="249">
        <f t="shared" si="9"/>
        <v>11477.319454454846</v>
      </c>
      <c r="AK34" s="249">
        <f t="shared" si="10"/>
        <v>282403.63854687405</v>
      </c>
      <c r="AL34" s="249">
        <f t="shared" si="3"/>
        <v>40343.376935267719</v>
      </c>
      <c r="AM34" s="249">
        <f t="shared" si="11"/>
        <v>2086.7853553554264</v>
      </c>
      <c r="AN34" s="249">
        <f t="shared" si="12"/>
        <v>51346.116099431652</v>
      </c>
      <c r="AO34" s="249">
        <f t="shared" si="4"/>
        <v>7335.1594427759501</v>
      </c>
      <c r="AQ34" s="239">
        <v>14</v>
      </c>
      <c r="AR34" s="249">
        <f t="shared" si="13"/>
        <v>3357.2689661886748</v>
      </c>
      <c r="AS34" s="249">
        <f t="shared" si="14"/>
        <v>82606.82952971074</v>
      </c>
      <c r="AT34" s="249">
        <f t="shared" si="5"/>
        <v>11800.975647101533</v>
      </c>
      <c r="AU34" s="249">
        <f t="shared" si="15"/>
        <v>610.41253930703181</v>
      </c>
      <c r="AV34" s="249">
        <f t="shared" si="16"/>
        <v>15019.4235508565</v>
      </c>
      <c r="AW34" s="249">
        <f t="shared" si="6"/>
        <v>2145.6319358366427</v>
      </c>
      <c r="AY34" s="239">
        <v>14</v>
      </c>
      <c r="AZ34" s="249">
        <f t="shared" si="17"/>
        <v>2430.5294635164041</v>
      </c>
      <c r="BA34" s="249">
        <f t="shared" si="18"/>
        <v>59804.065471576338</v>
      </c>
      <c r="BB34" s="249">
        <f t="shared" si="7"/>
        <v>8543.4379245109048</v>
      </c>
      <c r="BC34" s="249">
        <f t="shared" si="19"/>
        <v>441.91444791207346</v>
      </c>
      <c r="BD34" s="249">
        <f t="shared" si="20"/>
        <v>10873.466449377516</v>
      </c>
      <c r="BE34" s="249">
        <f t="shared" si="8"/>
        <v>1553.3523499110738</v>
      </c>
    </row>
    <row r="35" spans="2:57" ht="13.25" customHeight="1">
      <c r="B35" s="75"/>
      <c r="C35" s="76" t="s">
        <v>152</v>
      </c>
      <c r="D35" s="103"/>
      <c r="E35" s="103"/>
      <c r="F35" s="83">
        <f>ROUND((F22*F14+G22*G14)*K22*(1+K23),0)</f>
        <v>19307</v>
      </c>
      <c r="G35" s="81">
        <f>F35</f>
        <v>19307</v>
      </c>
      <c r="H35" s="78"/>
      <c r="I35" s="75"/>
      <c r="J35" s="76" t="s">
        <v>152</v>
      </c>
      <c r="K35" s="89">
        <f t="shared" si="22"/>
        <v>7.08</v>
      </c>
      <c r="L35" s="89">
        <f t="shared" si="23"/>
        <v>4.7</v>
      </c>
      <c r="M35" s="89">
        <f t="shared" si="24"/>
        <v>6.35</v>
      </c>
      <c r="N35" s="78"/>
      <c r="AI35" s="239">
        <v>15</v>
      </c>
      <c r="AJ35" s="249">
        <f t="shared" si="9"/>
        <v>10788.680287187552</v>
      </c>
      <c r="AK35" s="249">
        <f t="shared" si="10"/>
        <v>293192.31883406162</v>
      </c>
      <c r="AL35" s="249">
        <f t="shared" si="3"/>
        <v>41884.616976294514</v>
      </c>
      <c r="AM35" s="249">
        <f t="shared" si="11"/>
        <v>1961.5782340341004</v>
      </c>
      <c r="AN35" s="249">
        <f t="shared" si="12"/>
        <v>53307.694333465755</v>
      </c>
      <c r="AO35" s="249">
        <f t="shared" si="4"/>
        <v>7615.3849047808226</v>
      </c>
      <c r="AQ35" s="239">
        <v>15</v>
      </c>
      <c r="AR35" s="249">
        <f t="shared" si="13"/>
        <v>3155.8328282173534</v>
      </c>
      <c r="AS35" s="249">
        <f t="shared" si="14"/>
        <v>85762.662357928086</v>
      </c>
      <c r="AT35" s="249">
        <f t="shared" si="5"/>
        <v>12251.808908275441</v>
      </c>
      <c r="AU35" s="249">
        <f t="shared" si="15"/>
        <v>573.78778694860978</v>
      </c>
      <c r="AV35" s="249">
        <f t="shared" si="16"/>
        <v>15593.211337805109</v>
      </c>
      <c r="AW35" s="249">
        <f t="shared" si="6"/>
        <v>2227.6016196864443</v>
      </c>
      <c r="AY35" s="239">
        <v>15</v>
      </c>
      <c r="AZ35" s="249">
        <f t="shared" si="17"/>
        <v>2284.6976957054194</v>
      </c>
      <c r="BA35" s="249">
        <f t="shared" si="18"/>
        <v>62088.763167281759</v>
      </c>
      <c r="BB35" s="249">
        <f t="shared" si="7"/>
        <v>8869.8233096116801</v>
      </c>
      <c r="BC35" s="249">
        <f t="shared" si="19"/>
        <v>415.39958103734898</v>
      </c>
      <c r="BD35" s="249">
        <f t="shared" si="20"/>
        <v>11288.866030414865</v>
      </c>
      <c r="BE35" s="249">
        <f t="shared" si="8"/>
        <v>1612.6951472021235</v>
      </c>
    </row>
    <row r="36" spans="2:57" ht="13.25" customHeight="1">
      <c r="B36" s="75"/>
      <c r="C36" s="76" t="s">
        <v>153</v>
      </c>
      <c r="D36" s="104">
        <f>ROUND($D$26*$K$24*$K$23,0)</f>
        <v>0</v>
      </c>
      <c r="E36" s="104">
        <f>ROUND($E$26*$K$24*$K$23,0)</f>
        <v>0</v>
      </c>
      <c r="F36" s="88">
        <f>ROUND((F23+G23)*K24*K25,0)</f>
        <v>4897</v>
      </c>
      <c r="G36" s="88">
        <f>F36</f>
        <v>4897</v>
      </c>
      <c r="H36" s="78"/>
      <c r="I36" s="75"/>
      <c r="J36" s="76" t="s">
        <v>153</v>
      </c>
      <c r="K36" s="90">
        <f t="shared" si="22"/>
        <v>1.8</v>
      </c>
      <c r="L36" s="90">
        <f t="shared" si="23"/>
        <v>1.19</v>
      </c>
      <c r="M36" s="90">
        <f t="shared" si="24"/>
        <v>1.61</v>
      </c>
      <c r="N36" s="78"/>
      <c r="AI36" s="239">
        <v>16</v>
      </c>
      <c r="AJ36" s="249">
        <f t="shared" si="9"/>
        <v>10141.3594699563</v>
      </c>
      <c r="AK36" s="249">
        <f t="shared" si="10"/>
        <v>303333.67830401793</v>
      </c>
      <c r="AL36" s="249">
        <f t="shared" si="3"/>
        <v>43333.382614859707</v>
      </c>
      <c r="AM36" s="249">
        <f t="shared" si="11"/>
        <v>1843.8835399920547</v>
      </c>
      <c r="AN36" s="249">
        <f t="shared" si="12"/>
        <v>55151.577873457813</v>
      </c>
      <c r="AO36" s="249">
        <f t="shared" si="4"/>
        <v>7878.7968390654014</v>
      </c>
      <c r="AQ36" s="239">
        <v>16</v>
      </c>
      <c r="AR36" s="249">
        <f t="shared" si="13"/>
        <v>2966.4828585243126</v>
      </c>
      <c r="AS36" s="249">
        <f t="shared" si="14"/>
        <v>88729.145216452394</v>
      </c>
      <c r="AT36" s="249">
        <f t="shared" si="5"/>
        <v>12675.592173778914</v>
      </c>
      <c r="AU36" s="249">
        <f t="shared" si="15"/>
        <v>539.36051973169322</v>
      </c>
      <c r="AV36" s="249">
        <f t="shared" si="16"/>
        <v>16132.571857536803</v>
      </c>
      <c r="AW36" s="249">
        <f t="shared" si="6"/>
        <v>2304.6531225052577</v>
      </c>
      <c r="AY36" s="239">
        <v>16</v>
      </c>
      <c r="AZ36" s="249">
        <f t="shared" si="17"/>
        <v>2147.6158339630942</v>
      </c>
      <c r="BA36" s="249">
        <f t="shared" si="18"/>
        <v>64236.379001244852</v>
      </c>
      <c r="BB36" s="249">
        <f t="shared" si="7"/>
        <v>9176.6255716064079</v>
      </c>
      <c r="BC36" s="249">
        <f t="shared" si="19"/>
        <v>390.47560617510806</v>
      </c>
      <c r="BD36" s="249">
        <f t="shared" si="20"/>
        <v>11679.341636589974</v>
      </c>
      <c r="BE36" s="249">
        <f t="shared" si="8"/>
        <v>1668.4773766557105</v>
      </c>
    </row>
    <row r="37" spans="2:57" ht="13.25" customHeight="1">
      <c r="B37" s="75"/>
      <c r="C37" s="76" t="s">
        <v>155</v>
      </c>
      <c r="D37" s="86">
        <f>SUM(D31:D34)</f>
        <v>22433.904732026345</v>
      </c>
      <c r="E37" s="86">
        <f>SUM(E31:E34)</f>
        <v>15460.119185780772</v>
      </c>
      <c r="F37" s="86">
        <f>SUM(F31:F36)</f>
        <v>106099.2847439433</v>
      </c>
      <c r="G37" s="86">
        <f>SUM(G31:G36)</f>
        <v>143993.3086617504</v>
      </c>
      <c r="H37" s="78"/>
      <c r="I37" s="75"/>
      <c r="J37" s="76" t="s">
        <v>155</v>
      </c>
      <c r="K37" s="87">
        <f>SUM(K31:K36)</f>
        <v>50.79</v>
      </c>
      <c r="L37" s="87">
        <f>SUM(L31:L36)</f>
        <v>38.1</v>
      </c>
      <c r="M37" s="87">
        <f>SUM(M31:M36)</f>
        <v>46.89</v>
      </c>
      <c r="N37" s="78"/>
      <c r="AI37" s="239">
        <v>17</v>
      </c>
      <c r="AJ37" s="249">
        <f t="shared" si="9"/>
        <v>9532.8779017589222</v>
      </c>
      <c r="AK37" s="249">
        <f t="shared" si="10"/>
        <v>312866.55620577687</v>
      </c>
      <c r="AL37" s="249">
        <f t="shared" si="3"/>
        <v>44695.222315110979</v>
      </c>
      <c r="AM37" s="249">
        <f t="shared" si="11"/>
        <v>1733.2505275925314</v>
      </c>
      <c r="AN37" s="249">
        <f t="shared" si="12"/>
        <v>56884.828401050341</v>
      </c>
      <c r="AO37" s="249">
        <f t="shared" si="4"/>
        <v>8126.4040572929061</v>
      </c>
      <c r="AQ37" s="239">
        <v>17</v>
      </c>
      <c r="AR37" s="249">
        <f t="shared" si="13"/>
        <v>2788.493887012854</v>
      </c>
      <c r="AS37" s="249">
        <f t="shared" si="14"/>
        <v>91517.639103465248</v>
      </c>
      <c r="AT37" s="249">
        <f t="shared" si="5"/>
        <v>13073.948443352177</v>
      </c>
      <c r="AU37" s="249">
        <f t="shared" si="15"/>
        <v>506.99888854779164</v>
      </c>
      <c r="AV37" s="249">
        <f t="shared" si="16"/>
        <v>16639.570746084595</v>
      </c>
      <c r="AW37" s="249">
        <f t="shared" si="6"/>
        <v>2377.0815351549422</v>
      </c>
      <c r="AY37" s="239">
        <v>17</v>
      </c>
      <c r="AZ37" s="249">
        <f t="shared" si="17"/>
        <v>2018.7588839253085</v>
      </c>
      <c r="BA37" s="249">
        <f t="shared" si="18"/>
        <v>66255.137885170159</v>
      </c>
      <c r="BB37" s="249">
        <f t="shared" si="7"/>
        <v>9465.0196978814511</v>
      </c>
      <c r="BC37" s="249">
        <f t="shared" si="19"/>
        <v>367.04706980460156</v>
      </c>
      <c r="BD37" s="249">
        <f t="shared" si="20"/>
        <v>12046.388706394575</v>
      </c>
      <c r="BE37" s="249">
        <f t="shared" si="8"/>
        <v>1720.912672342082</v>
      </c>
    </row>
    <row r="38" spans="2:57" ht="13.25" customHeight="1">
      <c r="B38" s="75"/>
      <c r="C38" s="76"/>
      <c r="D38" s="76"/>
      <c r="E38" s="76"/>
      <c r="F38" s="76"/>
      <c r="G38" s="76"/>
      <c r="H38" s="78"/>
      <c r="I38" s="75"/>
      <c r="J38" s="76"/>
      <c r="K38" s="76"/>
      <c r="L38" s="76"/>
      <c r="M38" s="76"/>
      <c r="N38" s="78"/>
      <c r="AI38" s="239">
        <v>18</v>
      </c>
      <c r="AJ38" s="249">
        <f t="shared" si="9"/>
        <v>8960.9052276533876</v>
      </c>
      <c r="AK38" s="249">
        <f t="shared" si="10"/>
        <v>321827.46143343026</v>
      </c>
      <c r="AL38" s="249">
        <f t="shared" si="3"/>
        <v>45975.351633347178</v>
      </c>
      <c r="AM38" s="249">
        <f t="shared" si="11"/>
        <v>1629.2554959369795</v>
      </c>
      <c r="AN38" s="249">
        <f t="shared" si="12"/>
        <v>58514.083896987322</v>
      </c>
      <c r="AO38" s="249">
        <f t="shared" si="4"/>
        <v>8359.1548424267603</v>
      </c>
      <c r="AQ38" s="239">
        <v>18</v>
      </c>
      <c r="AR38" s="249">
        <f t="shared" si="13"/>
        <v>2621.1842537920829</v>
      </c>
      <c r="AS38" s="249">
        <f t="shared" si="14"/>
        <v>94138.823357257337</v>
      </c>
      <c r="AT38" s="249">
        <f t="shared" si="5"/>
        <v>13448.403336751047</v>
      </c>
      <c r="AU38" s="249">
        <f t="shared" si="15"/>
        <v>476.57895523492414</v>
      </c>
      <c r="AV38" s="249">
        <f t="shared" si="16"/>
        <v>17116.149701319518</v>
      </c>
      <c r="AW38" s="249">
        <f t="shared" si="6"/>
        <v>2445.1642430456454</v>
      </c>
      <c r="AY38" s="239">
        <v>18</v>
      </c>
      <c r="AZ38" s="249">
        <f t="shared" si="17"/>
        <v>1897.6333508897903</v>
      </c>
      <c r="BA38" s="249">
        <f t="shared" si="18"/>
        <v>68152.771236059954</v>
      </c>
      <c r="BB38" s="249">
        <f t="shared" si="7"/>
        <v>9736.110176579994</v>
      </c>
      <c r="BC38" s="249">
        <f t="shared" si="19"/>
        <v>345.02424561632552</v>
      </c>
      <c r="BD38" s="249">
        <f t="shared" si="20"/>
        <v>12391.4129520109</v>
      </c>
      <c r="BE38" s="249">
        <f t="shared" si="8"/>
        <v>1770.2018502872713</v>
      </c>
    </row>
    <row r="39" spans="2:57" ht="13.25" customHeight="1">
      <c r="B39" s="108"/>
      <c r="C39" s="109" t="s">
        <v>162</v>
      </c>
      <c r="D39" s="110"/>
      <c r="E39" s="110"/>
      <c r="F39" s="110"/>
      <c r="G39" s="110"/>
      <c r="H39" s="110"/>
      <c r="I39" s="110"/>
      <c r="J39" s="110"/>
      <c r="K39" s="110"/>
      <c r="L39" s="110" t="s">
        <v>230</v>
      </c>
      <c r="M39" s="199">
        <v>0.5</v>
      </c>
      <c r="N39" s="111"/>
      <c r="AI39" s="239">
        <v>19</v>
      </c>
      <c r="AJ39" s="249">
        <f t="shared" si="9"/>
        <v>8423.2509139941831</v>
      </c>
      <c r="AK39" s="249">
        <f t="shared" si="10"/>
        <v>330250.71234742447</v>
      </c>
      <c r="AL39" s="249">
        <f t="shared" si="3"/>
        <v>47178.673192489208</v>
      </c>
      <c r="AM39" s="249">
        <f t="shared" si="11"/>
        <v>1531.5001661807605</v>
      </c>
      <c r="AN39" s="249">
        <f t="shared" si="12"/>
        <v>60045.584063168084</v>
      </c>
      <c r="AO39" s="249">
        <f t="shared" si="4"/>
        <v>8577.9405804525832</v>
      </c>
      <c r="AQ39" s="239">
        <v>19</v>
      </c>
      <c r="AR39" s="249">
        <f t="shared" si="13"/>
        <v>2463.9131985645572</v>
      </c>
      <c r="AS39" s="249">
        <f t="shared" si="14"/>
        <v>96602.736555821888</v>
      </c>
      <c r="AT39" s="249">
        <f t="shared" si="5"/>
        <v>13800.390936545984</v>
      </c>
      <c r="AU39" s="249">
        <f t="shared" si="15"/>
        <v>447.9842179208286</v>
      </c>
      <c r="AV39" s="249">
        <f t="shared" si="16"/>
        <v>17564.133919240347</v>
      </c>
      <c r="AW39" s="249">
        <f t="shared" si="6"/>
        <v>2509.1619884629067</v>
      </c>
      <c r="AY39" s="239">
        <v>19</v>
      </c>
      <c r="AZ39" s="249">
        <f t="shared" si="17"/>
        <v>1783.7753498364025</v>
      </c>
      <c r="BA39" s="249">
        <f t="shared" si="18"/>
        <v>69936.546585896358</v>
      </c>
      <c r="BB39" s="249">
        <f t="shared" si="7"/>
        <v>9990.9352265566231</v>
      </c>
      <c r="BC39" s="249">
        <f t="shared" si="19"/>
        <v>324.32279087934592</v>
      </c>
      <c r="BD39" s="249">
        <f t="shared" si="20"/>
        <v>12715.735742890245</v>
      </c>
      <c r="BE39" s="249">
        <f t="shared" si="8"/>
        <v>1816.5336775557494</v>
      </c>
    </row>
    <row r="40" spans="2:57" ht="13.25" customHeight="1">
      <c r="B40" s="112"/>
      <c r="C40" s="113"/>
      <c r="D40" s="113"/>
      <c r="E40" s="113"/>
      <c r="F40" s="113"/>
      <c r="G40" s="113"/>
      <c r="H40" s="113"/>
      <c r="I40" s="113"/>
      <c r="J40" s="113"/>
      <c r="K40" s="113"/>
      <c r="L40" s="197"/>
      <c r="M40" s="197"/>
      <c r="N40" s="114"/>
      <c r="AI40" s="239">
        <v>20</v>
      </c>
      <c r="AJ40" s="249">
        <f t="shared" si="9"/>
        <v>7917.8558591545325</v>
      </c>
      <c r="AK40" s="249">
        <f t="shared" si="10"/>
        <v>338168.56820657902</v>
      </c>
      <c r="AL40" s="249">
        <f t="shared" si="3"/>
        <v>48309.795458082714</v>
      </c>
      <c r="AM40" s="249">
        <f t="shared" si="11"/>
        <v>1439.610156209915</v>
      </c>
      <c r="AN40" s="249">
        <f t="shared" si="12"/>
        <v>61485.194219377998</v>
      </c>
      <c r="AO40" s="249">
        <f t="shared" si="4"/>
        <v>8783.5991741968573</v>
      </c>
      <c r="AQ40" s="239">
        <v>20</v>
      </c>
      <c r="AR40" s="249">
        <f t="shared" si="13"/>
        <v>2316.078406650684</v>
      </c>
      <c r="AS40" s="249">
        <f t="shared" si="14"/>
        <v>98918.814962472577</v>
      </c>
      <c r="AT40" s="249">
        <f t="shared" si="5"/>
        <v>14131.259280353226</v>
      </c>
      <c r="AU40" s="249">
        <f t="shared" si="15"/>
        <v>421.10516484557894</v>
      </c>
      <c r="AV40" s="249">
        <f t="shared" si="16"/>
        <v>17985.239084085926</v>
      </c>
      <c r="AW40" s="249">
        <f t="shared" si="6"/>
        <v>2569.3198691551324</v>
      </c>
      <c r="AY40" s="239">
        <v>20</v>
      </c>
      <c r="AZ40" s="249">
        <f t="shared" si="17"/>
        <v>1676.7488288462182</v>
      </c>
      <c r="BA40" s="249">
        <f t="shared" si="18"/>
        <v>71613.295414742577</v>
      </c>
      <c r="BB40" s="249">
        <f t="shared" si="7"/>
        <v>10230.470773534655</v>
      </c>
      <c r="BC40" s="249">
        <f t="shared" si="19"/>
        <v>304.86342342658514</v>
      </c>
      <c r="BD40" s="249">
        <f t="shared" si="20"/>
        <v>13020.59916631683</v>
      </c>
      <c r="BE40" s="249">
        <f t="shared" si="8"/>
        <v>1860.0855951881185</v>
      </c>
    </row>
    <row r="41" spans="2:57" ht="13.25" customHeight="1">
      <c r="B41" s="112"/>
      <c r="C41" s="115" t="s">
        <v>107</v>
      </c>
      <c r="D41" s="115" t="s">
        <v>160</v>
      </c>
      <c r="E41" s="191"/>
      <c r="F41" s="191"/>
      <c r="G41" s="191"/>
      <c r="H41" s="191"/>
      <c r="I41" s="191"/>
      <c r="J41" s="191"/>
      <c r="K41" s="191"/>
      <c r="L41" s="191"/>
      <c r="M41" s="191"/>
      <c r="N41" s="192"/>
      <c r="AI41" s="239">
        <v>21</v>
      </c>
      <c r="AJ41" s="249">
        <f t="shared" si="9"/>
        <v>7442.784507605259</v>
      </c>
      <c r="AK41" s="249">
        <f t="shared" si="10"/>
        <v>345611.35271418426</v>
      </c>
      <c r="AL41" s="249">
        <f t="shared" si="3"/>
        <v>49373.050387740608</v>
      </c>
      <c r="AM41" s="249">
        <f t="shared" si="11"/>
        <v>1353.2335468373199</v>
      </c>
      <c r="AN41" s="249">
        <f t="shared" si="12"/>
        <v>62838.427766215318</v>
      </c>
      <c r="AO41" s="249">
        <f t="shared" si="4"/>
        <v>8976.9182523164745</v>
      </c>
      <c r="AQ41" s="239">
        <v>21</v>
      </c>
      <c r="AR41" s="249">
        <f t="shared" si="13"/>
        <v>2177.1137022516427</v>
      </c>
      <c r="AS41" s="249">
        <f t="shared" si="14"/>
        <v>101095.92866472423</v>
      </c>
      <c r="AT41" s="249">
        <f t="shared" si="5"/>
        <v>14442.275523532033</v>
      </c>
      <c r="AU41" s="249">
        <f t="shared" si="15"/>
        <v>395.83885495484412</v>
      </c>
      <c r="AV41" s="249">
        <f t="shared" si="16"/>
        <v>18381.07793904077</v>
      </c>
      <c r="AW41" s="249">
        <f t="shared" si="6"/>
        <v>2625.8682770058244</v>
      </c>
      <c r="AY41" s="239">
        <v>21</v>
      </c>
      <c r="AZ41" s="249">
        <f t="shared" si="17"/>
        <v>1576.1438991154453</v>
      </c>
      <c r="BA41" s="249">
        <f t="shared" si="18"/>
        <v>73189.43931385802</v>
      </c>
      <c r="BB41" s="249">
        <f t="shared" si="7"/>
        <v>10455.634187694002</v>
      </c>
      <c r="BC41" s="249">
        <f t="shared" si="19"/>
        <v>286.57161802099006</v>
      </c>
      <c r="BD41" s="249">
        <f t="shared" si="20"/>
        <v>13307.170784337819</v>
      </c>
      <c r="BE41" s="249">
        <f t="shared" si="8"/>
        <v>1901.0243977625455</v>
      </c>
    </row>
    <row r="42" spans="2:57" ht="13.25" customHeight="1">
      <c r="B42" s="112"/>
      <c r="C42" s="115" t="s">
        <v>30</v>
      </c>
      <c r="D42" s="115" t="s">
        <v>161</v>
      </c>
      <c r="E42" s="195">
        <f>M37</f>
        <v>46.89</v>
      </c>
      <c r="F42" s="196">
        <f>C43-E43</f>
        <v>350</v>
      </c>
      <c r="G42" s="196">
        <f>C44-E44</f>
        <v>500</v>
      </c>
      <c r="H42" s="196">
        <f>C45-E45</f>
        <v>650</v>
      </c>
      <c r="I42" s="196">
        <f>C46-E46</f>
        <v>800</v>
      </c>
      <c r="J42" s="196">
        <f>C47-E47</f>
        <v>950</v>
      </c>
      <c r="K42" s="196">
        <f>C48-E48</f>
        <v>1100</v>
      </c>
      <c r="L42" s="196">
        <f>C49-E49</f>
        <v>1250</v>
      </c>
      <c r="M42" s="196">
        <f>C50-E50</f>
        <v>1400</v>
      </c>
      <c r="N42" s="193">
        <f>C51-E51</f>
        <v>1550</v>
      </c>
      <c r="O42" s="190">
        <f>C52-E52</f>
        <v>1700</v>
      </c>
      <c r="AI42" s="239">
        <v>22</v>
      </c>
      <c r="AJ42" s="249">
        <f t="shared" si="9"/>
        <v>6996.2174371489446</v>
      </c>
      <c r="AK42" s="249">
        <f t="shared" si="10"/>
        <v>352607.57015133323</v>
      </c>
      <c r="AL42" s="249">
        <f t="shared" si="3"/>
        <v>50372.510021619033</v>
      </c>
      <c r="AM42" s="249">
        <f t="shared" si="11"/>
        <v>1272.0395340270809</v>
      </c>
      <c r="AN42" s="249">
        <f t="shared" si="12"/>
        <v>64110.467300242402</v>
      </c>
      <c r="AO42" s="249">
        <f t="shared" si="4"/>
        <v>9158.6381857489141</v>
      </c>
      <c r="AQ42" s="239">
        <v>22</v>
      </c>
      <c r="AR42" s="249">
        <f t="shared" si="13"/>
        <v>2046.4868801165444</v>
      </c>
      <c r="AS42" s="249">
        <f t="shared" si="14"/>
        <v>103142.41554484077</v>
      </c>
      <c r="AT42" s="249">
        <f t="shared" si="5"/>
        <v>14734.63079212011</v>
      </c>
      <c r="AU42" s="249">
        <f t="shared" si="15"/>
        <v>372.08852365755354</v>
      </c>
      <c r="AV42" s="249">
        <f t="shared" si="16"/>
        <v>18753.166462698322</v>
      </c>
      <c r="AW42" s="249">
        <f t="shared" si="6"/>
        <v>2679.0237803854748</v>
      </c>
      <c r="AY42" s="239">
        <v>22</v>
      </c>
      <c r="AZ42" s="249">
        <f t="shared" si="17"/>
        <v>1481.5752651685184</v>
      </c>
      <c r="BA42" s="249">
        <f t="shared" si="18"/>
        <v>74671.014579026538</v>
      </c>
      <c r="BB42" s="249">
        <f t="shared" si="7"/>
        <v>10667.287797003792</v>
      </c>
      <c r="BC42" s="249">
        <f t="shared" si="19"/>
        <v>269.37732093973062</v>
      </c>
      <c r="BD42" s="249">
        <f t="shared" si="20"/>
        <v>13576.54810527755</v>
      </c>
      <c r="BE42" s="249">
        <f t="shared" si="8"/>
        <v>1939.5068721825071</v>
      </c>
    </row>
    <row r="43" spans="2:57" ht="13.25" customHeight="1">
      <c r="B43" s="112"/>
      <c r="C43" s="116">
        <v>700</v>
      </c>
      <c r="D43" s="198">
        <f>F43</f>
        <v>169.25</v>
      </c>
      <c r="E43" s="197">
        <f t="shared" ref="E43:E52" si="25">C43*$M$39</f>
        <v>350</v>
      </c>
      <c r="F43" s="197">
        <f t="dataTable" ref="F43:O52" dt2D="1" dtr="0" r1="G14" r2="F14"/>
        <v>169.25</v>
      </c>
      <c r="G43" s="197">
        <v>142.16</v>
      </c>
      <c r="H43" s="197">
        <v>123.48</v>
      </c>
      <c r="I43" s="197">
        <v>108.78000000000002</v>
      </c>
      <c r="J43" s="197">
        <v>97.39</v>
      </c>
      <c r="K43" s="197">
        <v>88.66</v>
      </c>
      <c r="L43" s="197">
        <v>81.19</v>
      </c>
      <c r="M43" s="197">
        <v>75</v>
      </c>
      <c r="N43" s="192">
        <v>69.989999999999995</v>
      </c>
      <c r="O43">
        <v>65.53</v>
      </c>
      <c r="AI43" s="239">
        <v>23</v>
      </c>
      <c r="AJ43" s="249">
        <f t="shared" si="9"/>
        <v>6576.4443909200063</v>
      </c>
      <c r="AK43" s="249">
        <f t="shared" si="10"/>
        <v>359184.01454225322</v>
      </c>
      <c r="AL43" s="249">
        <f t="shared" si="3"/>
        <v>51312.002077464749</v>
      </c>
      <c r="AM43" s="249">
        <f t="shared" si="11"/>
        <v>1195.7171619854557</v>
      </c>
      <c r="AN43" s="249">
        <f t="shared" si="12"/>
        <v>65306.184462227859</v>
      </c>
      <c r="AO43" s="249">
        <f t="shared" si="4"/>
        <v>9329.4549231754081</v>
      </c>
      <c r="AQ43" s="239">
        <v>23</v>
      </c>
      <c r="AR43" s="249">
        <f t="shared" si="13"/>
        <v>1923.6976673095514</v>
      </c>
      <c r="AS43" s="249">
        <f t="shared" si="14"/>
        <v>105066.11321215032</v>
      </c>
      <c r="AT43" s="249">
        <f t="shared" si="5"/>
        <v>15009.444744592902</v>
      </c>
      <c r="AU43" s="249">
        <f t="shared" si="15"/>
        <v>349.76321223810027</v>
      </c>
      <c r="AV43" s="249">
        <f t="shared" si="16"/>
        <v>19102.929674936422</v>
      </c>
      <c r="AW43" s="249">
        <f t="shared" si="6"/>
        <v>2728.9899535623458</v>
      </c>
      <c r="AY43" s="239">
        <v>23</v>
      </c>
      <c r="AZ43" s="249">
        <f t="shared" si="17"/>
        <v>1392.6807492584073</v>
      </c>
      <c r="BA43" s="249">
        <f t="shared" si="18"/>
        <v>76063.695328284943</v>
      </c>
      <c r="BB43" s="249">
        <f t="shared" si="7"/>
        <v>10866.242189754992</v>
      </c>
      <c r="BC43" s="249">
        <f t="shared" si="19"/>
        <v>253.21468168334678</v>
      </c>
      <c r="BD43" s="249">
        <f t="shared" si="20"/>
        <v>13829.762786960897</v>
      </c>
      <c r="BE43" s="249">
        <f t="shared" si="8"/>
        <v>1975.6803981372709</v>
      </c>
    </row>
    <row r="44" spans="2:57" ht="13.25" customHeight="1">
      <c r="B44" s="112"/>
      <c r="C44" s="116">
        <v>1000</v>
      </c>
      <c r="D44" s="198">
        <f>G44</f>
        <v>121.29999999999998</v>
      </c>
      <c r="E44" s="197">
        <f t="shared" si="25"/>
        <v>500</v>
      </c>
      <c r="F44" s="197">
        <v>139.69000000000003</v>
      </c>
      <c r="G44" s="197">
        <v>121.29999999999998</v>
      </c>
      <c r="H44" s="197">
        <v>107.9</v>
      </c>
      <c r="I44" s="197">
        <v>96.88000000000001</v>
      </c>
      <c r="J44" s="197">
        <v>88.05</v>
      </c>
      <c r="K44" s="197">
        <v>81.100000000000009</v>
      </c>
      <c r="L44" s="197">
        <v>75.029999999999987</v>
      </c>
      <c r="M44" s="197">
        <v>69.910000000000011</v>
      </c>
      <c r="N44" s="192">
        <v>65.679999999999993</v>
      </c>
      <c r="O44">
        <v>61.889999999999993</v>
      </c>
      <c r="AI44" s="239">
        <v>24</v>
      </c>
      <c r="AJ44" s="249">
        <f t="shared" si="9"/>
        <v>6181.8577274648069</v>
      </c>
      <c r="AK44" s="249">
        <f t="shared" si="10"/>
        <v>365365.87226971803</v>
      </c>
      <c r="AL44" s="249">
        <f t="shared" si="3"/>
        <v>52195.124609959719</v>
      </c>
      <c r="AM44" s="249">
        <f t="shared" si="11"/>
        <v>1123.9741322663285</v>
      </c>
      <c r="AN44" s="249">
        <f t="shared" si="12"/>
        <v>66430.158594494191</v>
      </c>
      <c r="AO44" s="249">
        <f t="shared" si="4"/>
        <v>9490.0226563563137</v>
      </c>
      <c r="AQ44" s="239">
        <v>24</v>
      </c>
      <c r="AR44" s="249">
        <f t="shared" si="13"/>
        <v>1808.2758072709787</v>
      </c>
      <c r="AS44" s="249">
        <f t="shared" si="14"/>
        <v>106874.3890194213</v>
      </c>
      <c r="AT44" s="249">
        <f t="shared" si="5"/>
        <v>15267.769859917329</v>
      </c>
      <c r="AU44" s="249">
        <f t="shared" si="15"/>
        <v>328.77741950381431</v>
      </c>
      <c r="AV44" s="249">
        <f t="shared" si="16"/>
        <v>19431.707094440237</v>
      </c>
      <c r="AW44" s="249">
        <f t="shared" si="6"/>
        <v>2775.9581563486054</v>
      </c>
      <c r="AY44" s="239">
        <v>24</v>
      </c>
      <c r="AZ44" s="249">
        <f t="shared" si="17"/>
        <v>1309.119904302903</v>
      </c>
      <c r="BA44" s="249">
        <f t="shared" si="18"/>
        <v>77372.815232587847</v>
      </c>
      <c r="BB44" s="249">
        <f t="shared" si="7"/>
        <v>11053.259318941122</v>
      </c>
      <c r="BC44" s="249">
        <f t="shared" si="19"/>
        <v>238.02180078234599</v>
      </c>
      <c r="BD44" s="249">
        <f t="shared" si="20"/>
        <v>14067.784587743243</v>
      </c>
      <c r="BE44" s="249">
        <f t="shared" si="8"/>
        <v>2009.6835125347491</v>
      </c>
    </row>
    <row r="45" spans="2:57" ht="13.25" customHeight="1">
      <c r="B45" s="112"/>
      <c r="C45" s="116">
        <v>1300</v>
      </c>
      <c r="D45" s="198">
        <f>H45</f>
        <v>95.7</v>
      </c>
      <c r="E45" s="197">
        <f t="shared" si="25"/>
        <v>650</v>
      </c>
      <c r="F45" s="197">
        <v>119.13000000000001</v>
      </c>
      <c r="G45" s="197">
        <v>105.81000000000002</v>
      </c>
      <c r="H45" s="197">
        <v>95.7</v>
      </c>
      <c r="I45" s="197">
        <v>87.18</v>
      </c>
      <c r="J45" s="197">
        <v>80.150000000000006</v>
      </c>
      <c r="K45" s="197">
        <v>74.489999999999995</v>
      </c>
      <c r="L45" s="197">
        <v>69.47999999999999</v>
      </c>
      <c r="M45" s="197">
        <v>65.19</v>
      </c>
      <c r="N45" s="192">
        <v>61.629999999999995</v>
      </c>
      <c r="O45">
        <v>58.359999999999992</v>
      </c>
      <c r="AI45" s="239">
        <v>25</v>
      </c>
      <c r="AJ45" s="249">
        <f t="shared" si="9"/>
        <v>5810.946263816918</v>
      </c>
      <c r="AK45" s="249">
        <f t="shared" si="10"/>
        <v>371176.81853353494</v>
      </c>
      <c r="AL45" s="249">
        <f t="shared" si="3"/>
        <v>53025.259790504992</v>
      </c>
      <c r="AM45" s="249">
        <f t="shared" si="11"/>
        <v>1056.5356843303487</v>
      </c>
      <c r="AN45" s="249">
        <f t="shared" si="12"/>
        <v>67486.694278824536</v>
      </c>
      <c r="AO45" s="249">
        <f t="shared" si="4"/>
        <v>9640.9563255463618</v>
      </c>
      <c r="AQ45" s="239">
        <v>25</v>
      </c>
      <c r="AR45" s="249">
        <f t="shared" si="13"/>
        <v>1699.7792588347197</v>
      </c>
      <c r="AS45" s="249">
        <f t="shared" si="14"/>
        <v>108574.16827825602</v>
      </c>
      <c r="AT45" s="249">
        <f t="shared" si="5"/>
        <v>15510.59546832229</v>
      </c>
      <c r="AU45" s="249">
        <f t="shared" si="15"/>
        <v>309.05077433358542</v>
      </c>
      <c r="AV45" s="249">
        <f t="shared" si="16"/>
        <v>19740.757868773821</v>
      </c>
      <c r="AW45" s="249">
        <f t="shared" si="6"/>
        <v>2820.1082669676885</v>
      </c>
      <c r="AY45" s="239">
        <v>25</v>
      </c>
      <c r="AZ45" s="249">
        <f t="shared" si="17"/>
        <v>1230.5727100447286</v>
      </c>
      <c r="BA45" s="249">
        <f t="shared" si="18"/>
        <v>78603.387942632573</v>
      </c>
      <c r="BB45" s="249">
        <f t="shared" si="7"/>
        <v>11229.055420376082</v>
      </c>
      <c r="BC45" s="249">
        <f t="shared" si="19"/>
        <v>223.74049273540521</v>
      </c>
      <c r="BD45" s="249">
        <f t="shared" si="20"/>
        <v>14291.525080478648</v>
      </c>
      <c r="BE45" s="249">
        <f t="shared" si="8"/>
        <v>2041.6464400683783</v>
      </c>
    </row>
    <row r="46" spans="2:57" ht="13.25" customHeight="1">
      <c r="B46" s="112"/>
      <c r="C46" s="116">
        <v>1600</v>
      </c>
      <c r="D46" s="198">
        <f>I46</f>
        <v>79.759999999999977</v>
      </c>
      <c r="E46" s="197">
        <f t="shared" si="25"/>
        <v>800</v>
      </c>
      <c r="F46" s="197">
        <v>104.47</v>
      </c>
      <c r="G46" s="197">
        <v>94.440000000000012</v>
      </c>
      <c r="H46" s="197">
        <v>86.56</v>
      </c>
      <c r="I46" s="197">
        <v>79.759999999999977</v>
      </c>
      <c r="J46" s="197">
        <v>74.060000000000016</v>
      </c>
      <c r="K46" s="197">
        <v>69.389999999999986</v>
      </c>
      <c r="L46" s="197">
        <v>65.17</v>
      </c>
      <c r="M46" s="197">
        <v>61.51</v>
      </c>
      <c r="N46" s="192">
        <v>58.440000000000005</v>
      </c>
      <c r="O46">
        <v>55.599999999999994</v>
      </c>
      <c r="AI46" s="239">
        <v>26</v>
      </c>
      <c r="AJ46" s="249">
        <f t="shared" si="9"/>
        <v>5462.2894879879022</v>
      </c>
      <c r="AK46" s="249">
        <f t="shared" si="10"/>
        <v>376639.10802152287</v>
      </c>
      <c r="AL46" s="249">
        <f t="shared" si="3"/>
        <v>53805.586860217554</v>
      </c>
      <c r="AM46" s="249">
        <f t="shared" si="11"/>
        <v>993.14354327052774</v>
      </c>
      <c r="AN46" s="249">
        <f t="shared" si="12"/>
        <v>68479.837822095069</v>
      </c>
      <c r="AO46" s="249">
        <f t="shared" si="4"/>
        <v>9782.8339745850099</v>
      </c>
      <c r="AQ46" s="239">
        <v>26</v>
      </c>
      <c r="AR46" s="249">
        <f t="shared" si="13"/>
        <v>1597.7925033046365</v>
      </c>
      <c r="AS46" s="249">
        <f t="shared" si="14"/>
        <v>110171.96078156066</v>
      </c>
      <c r="AT46" s="249">
        <f t="shared" si="5"/>
        <v>15738.851540222951</v>
      </c>
      <c r="AU46" s="249">
        <f t="shared" si="15"/>
        <v>290.50772787357027</v>
      </c>
      <c r="AV46" s="249">
        <f t="shared" si="16"/>
        <v>20031.26559664739</v>
      </c>
      <c r="AW46" s="249">
        <f t="shared" si="6"/>
        <v>2861.6093709496272</v>
      </c>
      <c r="AY46" s="239">
        <v>26</v>
      </c>
      <c r="AZ46" s="249">
        <f t="shared" si="17"/>
        <v>1156.7383474420451</v>
      </c>
      <c r="BA46" s="249">
        <f t="shared" si="18"/>
        <v>79760.126290074622</v>
      </c>
      <c r="BB46" s="249">
        <f t="shared" si="7"/>
        <v>11394.303755724946</v>
      </c>
      <c r="BC46" s="249">
        <f t="shared" si="19"/>
        <v>210.31606317128092</v>
      </c>
      <c r="BD46" s="249">
        <f t="shared" si="20"/>
        <v>14501.84114364993</v>
      </c>
      <c r="BE46" s="249">
        <f t="shared" si="8"/>
        <v>2071.6915919499902</v>
      </c>
    </row>
    <row r="47" spans="2:57" ht="13.25" customHeight="1">
      <c r="B47" s="112"/>
      <c r="C47" s="116">
        <v>1900</v>
      </c>
      <c r="D47" s="198">
        <f>J47</f>
        <v>68.98</v>
      </c>
      <c r="E47" s="197">
        <f t="shared" si="25"/>
        <v>950</v>
      </c>
      <c r="F47" s="197">
        <v>93.4</v>
      </c>
      <c r="G47" s="197">
        <v>85.56</v>
      </c>
      <c r="H47" s="197">
        <v>79.260000000000005</v>
      </c>
      <c r="I47" s="197">
        <v>73.72</v>
      </c>
      <c r="J47" s="197">
        <v>68.98</v>
      </c>
      <c r="K47" s="197">
        <v>65.06</v>
      </c>
      <c r="L47" s="197">
        <v>61.449999999999996</v>
      </c>
      <c r="M47" s="197">
        <v>58.34</v>
      </c>
      <c r="N47" s="192">
        <v>55.669999999999995</v>
      </c>
      <c r="O47">
        <v>53.19</v>
      </c>
      <c r="AI47" s="239">
        <v>27</v>
      </c>
      <c r="AJ47" s="249">
        <f t="shared" si="9"/>
        <v>5134.5521187086279</v>
      </c>
      <c r="AK47" s="249">
        <f t="shared" si="10"/>
        <v>381773.66014023148</v>
      </c>
      <c r="AL47" s="249">
        <f t="shared" si="3"/>
        <v>54539.094305747356</v>
      </c>
      <c r="AM47" s="249">
        <f t="shared" si="11"/>
        <v>933.55493067429609</v>
      </c>
      <c r="AN47" s="249">
        <f t="shared" si="12"/>
        <v>69413.39275276936</v>
      </c>
      <c r="AO47" s="249">
        <f t="shared" si="4"/>
        <v>9916.1989646813363</v>
      </c>
      <c r="AQ47" s="239">
        <v>27</v>
      </c>
      <c r="AR47" s="249">
        <f t="shared" si="13"/>
        <v>1501.9249531063581</v>
      </c>
      <c r="AS47" s="249">
        <f t="shared" si="14"/>
        <v>111673.88573466701</v>
      </c>
      <c r="AT47" s="249">
        <f t="shared" si="5"/>
        <v>15953.412247809572</v>
      </c>
      <c r="AU47" s="249">
        <f t="shared" si="15"/>
        <v>273.07726420115603</v>
      </c>
      <c r="AV47" s="249">
        <f t="shared" si="16"/>
        <v>20304.342860848545</v>
      </c>
      <c r="AW47" s="249">
        <f t="shared" si="6"/>
        <v>2900.6204086926491</v>
      </c>
      <c r="AY47" s="239">
        <v>27</v>
      </c>
      <c r="AZ47" s="249">
        <f t="shared" si="17"/>
        <v>1087.3340465955223</v>
      </c>
      <c r="BA47" s="249">
        <f t="shared" si="18"/>
        <v>80847.460336670149</v>
      </c>
      <c r="BB47" s="249">
        <f t="shared" si="7"/>
        <v>11549.637190952879</v>
      </c>
      <c r="BC47" s="249">
        <f t="shared" si="19"/>
        <v>197.69709938100405</v>
      </c>
      <c r="BD47" s="249">
        <f t="shared" si="20"/>
        <v>14699.538243030935</v>
      </c>
      <c r="BE47" s="249">
        <f t="shared" si="8"/>
        <v>2099.9340347187049</v>
      </c>
    </row>
    <row r="48" spans="2:57" ht="13.25" customHeight="1">
      <c r="B48" s="112"/>
      <c r="C48" s="116">
        <v>2200</v>
      </c>
      <c r="D48" s="198">
        <f>K48</f>
        <v>61.21</v>
      </c>
      <c r="E48" s="197">
        <f t="shared" si="25"/>
        <v>1100</v>
      </c>
      <c r="F48" s="197">
        <v>84.660000000000011</v>
      </c>
      <c r="G48" s="197">
        <v>78.34</v>
      </c>
      <c r="H48" s="197">
        <v>73.16</v>
      </c>
      <c r="I48" s="197">
        <v>68.55</v>
      </c>
      <c r="J48" s="197">
        <v>64.56</v>
      </c>
      <c r="K48" s="197">
        <v>61.21</v>
      </c>
      <c r="L48" s="197">
        <v>58.14</v>
      </c>
      <c r="M48" s="197">
        <v>55.410000000000004</v>
      </c>
      <c r="N48" s="192">
        <v>53.06</v>
      </c>
      <c r="O48">
        <v>50.9</v>
      </c>
      <c r="AI48" s="239">
        <v>28</v>
      </c>
      <c r="AJ48" s="249">
        <f t="shared" si="9"/>
        <v>4826.478991586112</v>
      </c>
      <c r="AK48" s="249">
        <f t="shared" si="10"/>
        <v>386600.13913181762</v>
      </c>
      <c r="AL48" s="249">
        <f t="shared" si="3"/>
        <v>55228.591304545371</v>
      </c>
      <c r="AM48" s="249">
        <f t="shared" si="11"/>
        <v>877.54163483383854</v>
      </c>
      <c r="AN48" s="249">
        <f t="shared" si="12"/>
        <v>70290.934387603193</v>
      </c>
      <c r="AO48" s="249">
        <f t="shared" si="4"/>
        <v>10041.562055371885</v>
      </c>
      <c r="AQ48" s="239">
        <v>28</v>
      </c>
      <c r="AR48" s="249">
        <f t="shared" si="13"/>
        <v>1411.8094559199769</v>
      </c>
      <c r="AS48" s="249">
        <f t="shared" si="14"/>
        <v>113085.69519058699</v>
      </c>
      <c r="AT48" s="249">
        <f t="shared" si="5"/>
        <v>16155.099312941</v>
      </c>
      <c r="AU48" s="249">
        <f t="shared" si="15"/>
        <v>256.6926283490867</v>
      </c>
      <c r="AV48" s="249">
        <f t="shared" si="16"/>
        <v>20561.035489197631</v>
      </c>
      <c r="AW48" s="249">
        <f t="shared" si="6"/>
        <v>2937.2907841710903</v>
      </c>
      <c r="AY48" s="239">
        <v>28</v>
      </c>
      <c r="AZ48" s="249">
        <f t="shared" si="17"/>
        <v>1022.0940037997909</v>
      </c>
      <c r="BA48" s="249">
        <f t="shared" si="18"/>
        <v>81869.554340469942</v>
      </c>
      <c r="BB48" s="249">
        <f t="shared" si="7"/>
        <v>11695.650620067134</v>
      </c>
      <c r="BC48" s="249">
        <f t="shared" si="19"/>
        <v>185.8352734181438</v>
      </c>
      <c r="BD48" s="249">
        <f t="shared" si="20"/>
        <v>14885.373516449079</v>
      </c>
      <c r="BE48" s="249">
        <f t="shared" si="8"/>
        <v>2126.4819309212971</v>
      </c>
    </row>
    <row r="49" spans="2:57" ht="13.25" customHeight="1">
      <c r="B49" s="112"/>
      <c r="C49" s="116">
        <v>2500</v>
      </c>
      <c r="D49" s="198">
        <f>L49</f>
        <v>55.41</v>
      </c>
      <c r="E49" s="197">
        <f t="shared" si="25"/>
        <v>1250</v>
      </c>
      <c r="F49" s="197">
        <v>77.739999999999995</v>
      </c>
      <c r="G49" s="197">
        <v>72.59</v>
      </c>
      <c r="H49" s="197">
        <v>68.22999999999999</v>
      </c>
      <c r="I49" s="197">
        <v>64.36</v>
      </c>
      <c r="J49" s="197">
        <v>60.959999999999994</v>
      </c>
      <c r="K49" s="197">
        <v>58.09</v>
      </c>
      <c r="L49" s="197">
        <v>55.41</v>
      </c>
      <c r="M49" s="197">
        <v>53.02</v>
      </c>
      <c r="N49" s="192">
        <v>50.95</v>
      </c>
      <c r="O49">
        <v>49.04</v>
      </c>
      <c r="AI49" s="239">
        <v>29</v>
      </c>
      <c r="AJ49" s="249">
        <f t="shared" si="9"/>
        <v>4536.8902520909432</v>
      </c>
      <c r="AK49" s="249">
        <f t="shared" si="10"/>
        <v>391137.02938390855</v>
      </c>
      <c r="AL49" s="249">
        <f t="shared" si="3"/>
        <v>55876.718483415505</v>
      </c>
      <c r="AM49" s="249">
        <f t="shared" si="11"/>
        <v>824.88913674380797</v>
      </c>
      <c r="AN49" s="249">
        <f t="shared" si="12"/>
        <v>71115.823524346997</v>
      </c>
      <c r="AO49" s="249">
        <f t="shared" si="4"/>
        <v>10159.403360621</v>
      </c>
      <c r="AQ49" s="239">
        <v>29</v>
      </c>
      <c r="AR49" s="249">
        <f t="shared" si="13"/>
        <v>1327.1008885647782</v>
      </c>
      <c r="AS49" s="249">
        <f t="shared" si="14"/>
        <v>114412.79607915177</v>
      </c>
      <c r="AT49" s="249">
        <f t="shared" si="5"/>
        <v>16344.685154164539</v>
      </c>
      <c r="AU49" s="249">
        <f t="shared" si="15"/>
        <v>241.29107064814147</v>
      </c>
      <c r="AV49" s="249">
        <f t="shared" si="16"/>
        <v>20802.326559845773</v>
      </c>
      <c r="AW49" s="249">
        <f t="shared" si="6"/>
        <v>2971.7609371208246</v>
      </c>
      <c r="AY49" s="239">
        <v>29</v>
      </c>
      <c r="AZ49" s="249">
        <f t="shared" si="17"/>
        <v>960.76836357180332</v>
      </c>
      <c r="BA49" s="249">
        <f t="shared" si="18"/>
        <v>82830.322704041741</v>
      </c>
      <c r="BB49" s="249">
        <f t="shared" si="7"/>
        <v>11832.903243434534</v>
      </c>
      <c r="BC49" s="249">
        <f t="shared" si="19"/>
        <v>174.68515701305515</v>
      </c>
      <c r="BD49" s="249">
        <f t="shared" si="20"/>
        <v>15060.058673462134</v>
      </c>
      <c r="BE49" s="249">
        <f t="shared" si="8"/>
        <v>2151.4369533517333</v>
      </c>
    </row>
    <row r="50" spans="2:57" ht="13.25" customHeight="1">
      <c r="B50" s="112"/>
      <c r="C50" s="116">
        <v>2800</v>
      </c>
      <c r="D50" s="198">
        <f>M50</f>
        <v>50.95</v>
      </c>
      <c r="E50" s="197">
        <f t="shared" si="25"/>
        <v>1400</v>
      </c>
      <c r="F50" s="197">
        <v>72.11</v>
      </c>
      <c r="G50" s="197">
        <v>67.78</v>
      </c>
      <c r="H50" s="197">
        <v>64.12</v>
      </c>
      <c r="I50" s="197">
        <v>60.830000000000005</v>
      </c>
      <c r="J50" s="197">
        <v>57.9</v>
      </c>
      <c r="K50" s="197">
        <v>55.370000000000005</v>
      </c>
      <c r="L50" s="197">
        <v>53.03</v>
      </c>
      <c r="M50" s="197">
        <v>50.95</v>
      </c>
      <c r="N50" s="192">
        <v>49.12</v>
      </c>
      <c r="O50">
        <v>47.38000000000001</v>
      </c>
      <c r="AI50" s="239">
        <v>30</v>
      </c>
      <c r="AJ50" s="249">
        <f t="shared" si="9"/>
        <v>4264.6768369654883</v>
      </c>
      <c r="AK50" s="249">
        <f t="shared" si="10"/>
        <v>395401.70622087404</v>
      </c>
      <c r="AL50" s="249">
        <f t="shared" si="3"/>
        <v>56485.958031553433</v>
      </c>
      <c r="AM50" s="249">
        <f t="shared" si="11"/>
        <v>775.39578853917965</v>
      </c>
      <c r="AN50" s="249">
        <f t="shared" si="12"/>
        <v>71891.219312886184</v>
      </c>
      <c r="AO50" s="249">
        <f t="shared" si="4"/>
        <v>10270.174187555169</v>
      </c>
      <c r="AQ50" s="239">
        <v>30</v>
      </c>
      <c r="AR50" s="249">
        <f t="shared" si="13"/>
        <v>1247.4748352508916</v>
      </c>
      <c r="AS50" s="249">
        <f t="shared" si="14"/>
        <v>115660.27091440266</v>
      </c>
      <c r="AT50" s="249">
        <f t="shared" si="5"/>
        <v>16522.895844914667</v>
      </c>
      <c r="AU50" s="249">
        <f t="shared" si="15"/>
        <v>226.813606409253</v>
      </c>
      <c r="AV50" s="249">
        <f t="shared" si="16"/>
        <v>21029.140166255027</v>
      </c>
      <c r="AW50" s="249">
        <f t="shared" si="6"/>
        <v>3004.1628808935752</v>
      </c>
      <c r="AY50" s="239">
        <v>30</v>
      </c>
      <c r="AZ50" s="249">
        <f t="shared" si="17"/>
        <v>903.12226175749538</v>
      </c>
      <c r="BA50" s="249">
        <f t="shared" si="18"/>
        <v>83733.444965799237</v>
      </c>
      <c r="BB50" s="249">
        <f t="shared" si="7"/>
        <v>11961.92070939989</v>
      </c>
      <c r="BC50" s="249">
        <f t="shared" si="19"/>
        <v>164.20404759227191</v>
      </c>
      <c r="BD50" s="249">
        <f t="shared" si="20"/>
        <v>15224.262721054405</v>
      </c>
      <c r="BE50" s="249">
        <f t="shared" si="8"/>
        <v>2174.8946744363434</v>
      </c>
    </row>
    <row r="51" spans="2:57" ht="13.25" customHeight="1">
      <c r="B51" s="112"/>
      <c r="C51" s="116">
        <v>3100</v>
      </c>
      <c r="D51" s="198">
        <f>N51</f>
        <v>47.359999999999992</v>
      </c>
      <c r="E51" s="197">
        <f t="shared" si="25"/>
        <v>1550</v>
      </c>
      <c r="F51" s="197">
        <v>67.36</v>
      </c>
      <c r="G51" s="197">
        <v>63.71</v>
      </c>
      <c r="H51" s="197">
        <v>60.56</v>
      </c>
      <c r="I51" s="197">
        <v>57.68</v>
      </c>
      <c r="J51" s="197">
        <v>55.139999999999993</v>
      </c>
      <c r="K51" s="197">
        <v>52.93</v>
      </c>
      <c r="L51" s="197">
        <v>50.859999999999992</v>
      </c>
      <c r="M51" s="197">
        <v>48.99</v>
      </c>
      <c r="N51" s="192">
        <v>47.359999999999992</v>
      </c>
      <c r="O51">
        <v>45.790000000000006</v>
      </c>
      <c r="AI51" s="239">
        <v>31</v>
      </c>
      <c r="AJ51" s="249">
        <f t="shared" si="9"/>
        <v>4008.7962267475582</v>
      </c>
      <c r="AK51" s="249">
        <f t="shared" si="10"/>
        <v>399410.50244762161</v>
      </c>
      <c r="AL51" s="249">
        <f t="shared" si="3"/>
        <v>57058.643206803084</v>
      </c>
      <c r="AM51" s="249">
        <f t="shared" si="11"/>
        <v>728.87204122682874</v>
      </c>
      <c r="AN51" s="249">
        <f t="shared" si="12"/>
        <v>72620.091354113014</v>
      </c>
      <c r="AO51" s="249">
        <f t="shared" si="4"/>
        <v>10374.298764873287</v>
      </c>
      <c r="AQ51" s="239">
        <v>31</v>
      </c>
      <c r="AR51" s="249">
        <f t="shared" si="13"/>
        <v>1172.6263451358379</v>
      </c>
      <c r="AS51" s="249">
        <f t="shared" si="14"/>
        <v>116832.8972595385</v>
      </c>
      <c r="AT51" s="249">
        <f t="shared" si="5"/>
        <v>16690.413894219786</v>
      </c>
      <c r="AU51" s="249">
        <f t="shared" si="15"/>
        <v>213.20479002469779</v>
      </c>
      <c r="AV51" s="249">
        <f t="shared" si="16"/>
        <v>21242.344956279725</v>
      </c>
      <c r="AW51" s="249">
        <f t="shared" si="6"/>
        <v>3034.6207080399608</v>
      </c>
      <c r="AY51" s="239">
        <v>31</v>
      </c>
      <c r="AZ51" s="249">
        <f t="shared" si="17"/>
        <v>848.93492605204551</v>
      </c>
      <c r="BA51" s="249">
        <f t="shared" si="18"/>
        <v>84582.379891851277</v>
      </c>
      <c r="BB51" s="249">
        <f t="shared" si="7"/>
        <v>12083.197127407326</v>
      </c>
      <c r="BC51" s="249">
        <f t="shared" si="19"/>
        <v>154.35180473673555</v>
      </c>
      <c r="BD51" s="249">
        <f t="shared" si="20"/>
        <v>15378.614525791141</v>
      </c>
      <c r="BE51" s="249">
        <f t="shared" si="8"/>
        <v>2196.9449322558771</v>
      </c>
    </row>
    <row r="52" spans="2:57" ht="13.25" customHeight="1">
      <c r="B52" s="112"/>
      <c r="C52" s="116">
        <v>3400</v>
      </c>
      <c r="D52" s="198">
        <f>O52</f>
        <v>44.51</v>
      </c>
      <c r="E52" s="197">
        <f t="shared" si="25"/>
        <v>1700</v>
      </c>
      <c r="F52" s="197">
        <v>63.419999999999995</v>
      </c>
      <c r="G52" s="197">
        <v>60.29999999999999</v>
      </c>
      <c r="H52" s="197">
        <v>57.550000000000004</v>
      </c>
      <c r="I52" s="197">
        <v>55.07</v>
      </c>
      <c r="J52" s="197">
        <v>52.839999999999996</v>
      </c>
      <c r="K52" s="197">
        <v>50.87</v>
      </c>
      <c r="L52" s="197">
        <v>49.030000000000008</v>
      </c>
      <c r="M52" s="197">
        <v>47.360000000000007</v>
      </c>
      <c r="N52" s="192">
        <v>45.900000000000006</v>
      </c>
      <c r="O52">
        <v>44.51</v>
      </c>
      <c r="AI52" s="239">
        <v>32</v>
      </c>
      <c r="AJ52" s="249">
        <f t="shared" si="9"/>
        <v>3768.2684531427049</v>
      </c>
      <c r="AK52" s="249">
        <f t="shared" si="10"/>
        <v>403178.77090076433</v>
      </c>
      <c r="AL52" s="249">
        <f t="shared" si="3"/>
        <v>57596.96727153776</v>
      </c>
      <c r="AM52" s="249">
        <f t="shared" si="11"/>
        <v>685.13971875321909</v>
      </c>
      <c r="AN52" s="249">
        <f t="shared" si="12"/>
        <v>73305.231072866227</v>
      </c>
      <c r="AO52" s="249">
        <f t="shared" si="4"/>
        <v>10472.175867552318</v>
      </c>
      <c r="AQ52" s="239">
        <v>32</v>
      </c>
      <c r="AR52" s="249">
        <f t="shared" si="13"/>
        <v>1102.2687644276878</v>
      </c>
      <c r="AS52" s="249">
        <f t="shared" si="14"/>
        <v>117935.16602396619</v>
      </c>
      <c r="AT52" s="249">
        <f t="shared" si="5"/>
        <v>16847.880860566598</v>
      </c>
      <c r="AU52" s="249">
        <f t="shared" si="15"/>
        <v>200.41250262321594</v>
      </c>
      <c r="AV52" s="249">
        <f t="shared" si="16"/>
        <v>21442.757458902943</v>
      </c>
      <c r="AW52" s="249">
        <f t="shared" si="6"/>
        <v>3063.2510655575634</v>
      </c>
      <c r="AY52" s="239">
        <v>32</v>
      </c>
      <c r="AZ52" s="249">
        <f t="shared" si="17"/>
        <v>797.99883048892275</v>
      </c>
      <c r="BA52" s="249">
        <f t="shared" si="18"/>
        <v>85380.378722340203</v>
      </c>
      <c r="BB52" s="249">
        <f t="shared" si="7"/>
        <v>12197.196960334315</v>
      </c>
      <c r="BC52" s="249">
        <f t="shared" si="19"/>
        <v>145.0906964525314</v>
      </c>
      <c r="BD52" s="249">
        <f t="shared" si="20"/>
        <v>15523.705222243672</v>
      </c>
      <c r="BE52" s="249">
        <f t="shared" si="8"/>
        <v>2217.672174606239</v>
      </c>
    </row>
    <row r="53" spans="2:57" ht="13.25" customHeight="1">
      <c r="B53" s="112"/>
      <c r="C53" s="113"/>
      <c r="D53" s="113"/>
      <c r="E53" s="113"/>
      <c r="F53" s="113"/>
      <c r="G53" s="113"/>
      <c r="H53" s="113"/>
      <c r="I53" s="113"/>
      <c r="J53" s="113"/>
      <c r="K53" s="113"/>
      <c r="L53" s="113"/>
      <c r="M53" s="113"/>
      <c r="N53" s="114"/>
      <c r="AI53" s="239">
        <v>33</v>
      </c>
      <c r="AJ53" s="249">
        <f t="shared" si="9"/>
        <v>3542.1723459541427</v>
      </c>
      <c r="AK53" s="249">
        <f t="shared" si="10"/>
        <v>406720.9432467185</v>
      </c>
      <c r="AL53" s="249">
        <f t="shared" si="3"/>
        <v>58102.99189238836</v>
      </c>
      <c r="AM53" s="249">
        <f t="shared" si="11"/>
        <v>644.03133562802589</v>
      </c>
      <c r="AN53" s="249">
        <f t="shared" si="12"/>
        <v>73949.262408494251</v>
      </c>
      <c r="AO53" s="249">
        <f t="shared" si="4"/>
        <v>10564.180344070608</v>
      </c>
      <c r="AQ53" s="239">
        <v>33</v>
      </c>
      <c r="AR53" s="249">
        <f t="shared" si="13"/>
        <v>1036.1326385620264</v>
      </c>
      <c r="AS53" s="249">
        <f t="shared" si="14"/>
        <v>118971.29866252821</v>
      </c>
      <c r="AT53" s="249">
        <f t="shared" si="5"/>
        <v>16995.899808932601</v>
      </c>
      <c r="AU53" s="249">
        <f t="shared" si="15"/>
        <v>188.38775246582301</v>
      </c>
      <c r="AV53" s="249">
        <f t="shared" si="16"/>
        <v>21631.145211368766</v>
      </c>
      <c r="AW53" s="249">
        <f t="shared" si="6"/>
        <v>3090.1636016241096</v>
      </c>
      <c r="AY53" s="239">
        <v>33</v>
      </c>
      <c r="AZ53" s="249">
        <f t="shared" si="17"/>
        <v>750.11890065958744</v>
      </c>
      <c r="BA53" s="249">
        <f t="shared" si="18"/>
        <v>86130.497622999785</v>
      </c>
      <c r="BB53" s="249">
        <f t="shared" si="7"/>
        <v>12304.356803285684</v>
      </c>
      <c r="BC53" s="249">
        <f t="shared" si="19"/>
        <v>136.38525466537953</v>
      </c>
      <c r="BD53" s="249">
        <f t="shared" si="20"/>
        <v>15660.090476909052</v>
      </c>
      <c r="BE53" s="249">
        <f t="shared" si="8"/>
        <v>2237.1557824155789</v>
      </c>
    </row>
    <row r="54" spans="2:57" ht="13.25" customHeight="1">
      <c r="B54" s="117"/>
      <c r="C54" s="118"/>
      <c r="D54" s="118"/>
      <c r="E54" s="118"/>
      <c r="F54" s="118"/>
      <c r="G54" s="118"/>
      <c r="H54" s="118"/>
      <c r="I54" s="118"/>
      <c r="J54" s="118"/>
      <c r="K54" s="118"/>
      <c r="L54" s="118"/>
      <c r="M54" s="118"/>
      <c r="N54" s="119"/>
      <c r="AI54" s="239">
        <v>34</v>
      </c>
      <c r="AJ54" s="249">
        <f t="shared" si="9"/>
        <v>3329.6420051968939</v>
      </c>
      <c r="AK54" s="249">
        <f t="shared" si="10"/>
        <v>410050.58525191539</v>
      </c>
      <c r="AL54" s="249">
        <f t="shared" si="3"/>
        <v>58578.655035987911</v>
      </c>
      <c r="AM54" s="249">
        <f t="shared" si="11"/>
        <v>605.3894554903444</v>
      </c>
      <c r="AN54" s="249">
        <f t="shared" si="12"/>
        <v>74554.651863984589</v>
      </c>
      <c r="AO54" s="249">
        <f t="shared" si="4"/>
        <v>10650.664551997799</v>
      </c>
      <c r="AQ54" s="239">
        <v>34</v>
      </c>
      <c r="AR54" s="249">
        <f t="shared" si="13"/>
        <v>973.96468024830483</v>
      </c>
      <c r="AS54" s="249">
        <f t="shared" si="14"/>
        <v>119945.26334277651</v>
      </c>
      <c r="AT54" s="249">
        <f t="shared" si="5"/>
        <v>17135.037620396644</v>
      </c>
      <c r="AU54" s="249">
        <f t="shared" si="15"/>
        <v>177.08448731787362</v>
      </c>
      <c r="AV54" s="249">
        <f t="shared" si="16"/>
        <v>21808.229698686639</v>
      </c>
      <c r="AW54" s="249">
        <f t="shared" si="6"/>
        <v>3115.4613855266625</v>
      </c>
      <c r="AY54" s="239">
        <v>34</v>
      </c>
      <c r="AZ54" s="249">
        <f t="shared" si="17"/>
        <v>705.11176662001219</v>
      </c>
      <c r="BA54" s="249">
        <f t="shared" si="18"/>
        <v>86835.6093896198</v>
      </c>
      <c r="BB54" s="249">
        <f t="shared" si="7"/>
        <v>12405.087055659971</v>
      </c>
      <c r="BC54" s="249">
        <f t="shared" si="19"/>
        <v>128.20213938545675</v>
      </c>
      <c r="BD54" s="249">
        <f t="shared" si="20"/>
        <v>15788.29261629451</v>
      </c>
      <c r="BE54" s="249">
        <f t="shared" si="8"/>
        <v>2255.4703737563586</v>
      </c>
    </row>
    <row r="55" spans="2:57" ht="13.25" customHeight="1">
      <c r="AI55" s="239">
        <v>35</v>
      </c>
      <c r="AJ55" s="249">
        <f t="shared" si="9"/>
        <v>3129.8634848850797</v>
      </c>
      <c r="AK55" s="249">
        <f t="shared" si="10"/>
        <v>413180.44873680046</v>
      </c>
      <c r="AL55" s="249">
        <f t="shared" si="3"/>
        <v>59025.778390971493</v>
      </c>
      <c r="AM55" s="249">
        <f t="shared" si="11"/>
        <v>569.06608816092364</v>
      </c>
      <c r="AN55" s="249">
        <f t="shared" si="12"/>
        <v>75123.717952145511</v>
      </c>
      <c r="AO55" s="249">
        <f t="shared" si="4"/>
        <v>10731.959707449359</v>
      </c>
      <c r="AQ55" s="239">
        <v>35</v>
      </c>
      <c r="AR55" s="249">
        <f t="shared" si="13"/>
        <v>915.5267994334065</v>
      </c>
      <c r="AS55" s="249">
        <f t="shared" si="14"/>
        <v>120860.79014220992</v>
      </c>
      <c r="AT55" s="249">
        <f t="shared" si="5"/>
        <v>17265.827163172846</v>
      </c>
      <c r="AU55" s="249">
        <f t="shared" si="15"/>
        <v>166.45941807880118</v>
      </c>
      <c r="AV55" s="249">
        <f t="shared" si="16"/>
        <v>21974.689116765439</v>
      </c>
      <c r="AW55" s="249">
        <f t="shared" si="6"/>
        <v>3139.2413023950626</v>
      </c>
      <c r="AY55" s="239">
        <v>35</v>
      </c>
      <c r="AZ55" s="249">
        <f t="shared" si="17"/>
        <v>662.80506062281131</v>
      </c>
      <c r="BA55" s="249">
        <f t="shared" si="18"/>
        <v>87498.414450242606</v>
      </c>
      <c r="BB55" s="249">
        <f t="shared" si="7"/>
        <v>12499.773492891802</v>
      </c>
      <c r="BC55" s="249">
        <f t="shared" si="19"/>
        <v>120.51001102232932</v>
      </c>
      <c r="BD55" s="249">
        <f t="shared" si="20"/>
        <v>15908.80262731684</v>
      </c>
      <c r="BE55" s="249">
        <f t="shared" si="8"/>
        <v>2272.6860896166913</v>
      </c>
    </row>
    <row r="56" spans="2:57" ht="13.25" customHeight="1">
      <c r="AI56" s="239">
        <v>36</v>
      </c>
      <c r="AJ56" s="249">
        <f t="shared" si="9"/>
        <v>2942.0716757919754</v>
      </c>
      <c r="AK56" s="249">
        <f t="shared" si="10"/>
        <v>416122.52041259245</v>
      </c>
      <c r="AL56" s="249">
        <f t="shared" si="3"/>
        <v>59446.074344656066</v>
      </c>
      <c r="AM56" s="249">
        <f t="shared" si="11"/>
        <v>534.92212287126824</v>
      </c>
      <c r="AN56" s="249">
        <f t="shared" si="12"/>
        <v>75658.640075016781</v>
      </c>
      <c r="AO56" s="249">
        <f t="shared" si="4"/>
        <v>10808.377153573825</v>
      </c>
      <c r="AQ56" s="239">
        <v>36</v>
      </c>
      <c r="AR56" s="249">
        <f t="shared" si="13"/>
        <v>860.59519146740206</v>
      </c>
      <c r="AS56" s="249">
        <f t="shared" si="14"/>
        <v>121721.38533367733</v>
      </c>
      <c r="AT56" s="249">
        <f t="shared" si="5"/>
        <v>17388.769333382475</v>
      </c>
      <c r="AU56" s="249">
        <f t="shared" si="15"/>
        <v>156.47185299407312</v>
      </c>
      <c r="AV56" s="249">
        <f t="shared" si="16"/>
        <v>22131.160969759512</v>
      </c>
      <c r="AW56" s="249">
        <f t="shared" si="6"/>
        <v>3161.5944242513588</v>
      </c>
      <c r="AY56" s="239">
        <v>36</v>
      </c>
      <c r="AZ56" s="249">
        <f t="shared" si="17"/>
        <v>623.03675698544271</v>
      </c>
      <c r="BA56" s="249">
        <f t="shared" si="18"/>
        <v>88121.451207228049</v>
      </c>
      <c r="BB56" s="249">
        <f t="shared" si="7"/>
        <v>12588.778743889721</v>
      </c>
      <c r="BC56" s="249">
        <f t="shared" si="19"/>
        <v>113.27941036098959</v>
      </c>
      <c r="BD56" s="249">
        <f t="shared" si="20"/>
        <v>16022.08203767783</v>
      </c>
      <c r="BE56" s="249">
        <f t="shared" si="8"/>
        <v>2288.8688625254044</v>
      </c>
    </row>
    <row r="57" spans="2:57">
      <c r="AI57" s="239">
        <v>37</v>
      </c>
      <c r="AJ57" s="249">
        <f t="shared" si="9"/>
        <v>2765.5473752444564</v>
      </c>
      <c r="AK57" s="249">
        <f t="shared" si="10"/>
        <v>418888.06778783689</v>
      </c>
      <c r="AL57" s="249">
        <f t="shared" si="3"/>
        <v>59841.152541119554</v>
      </c>
      <c r="AM57" s="249">
        <f t="shared" si="11"/>
        <v>502.82679549899206</v>
      </c>
      <c r="AN57" s="249">
        <f t="shared" si="12"/>
        <v>76161.466870515767</v>
      </c>
      <c r="AO57" s="249">
        <f t="shared" si="4"/>
        <v>10880.209552930824</v>
      </c>
      <c r="AQ57" s="239">
        <v>37</v>
      </c>
      <c r="AR57" s="249">
        <f t="shared" si="13"/>
        <v>808.95947997935798</v>
      </c>
      <c r="AS57" s="249">
        <f t="shared" si="14"/>
        <v>122530.34481365669</v>
      </c>
      <c r="AT57" s="249">
        <f t="shared" si="5"/>
        <v>17504.334973379526</v>
      </c>
      <c r="AU57" s="249">
        <f t="shared" si="15"/>
        <v>147.08354181442871</v>
      </c>
      <c r="AV57" s="249">
        <f t="shared" si="16"/>
        <v>22278.244511573939</v>
      </c>
      <c r="AW57" s="249">
        <f t="shared" si="6"/>
        <v>3182.6063587962772</v>
      </c>
      <c r="AY57" s="239">
        <v>37</v>
      </c>
      <c r="AZ57" s="249">
        <f t="shared" si="17"/>
        <v>585.65455156631606</v>
      </c>
      <c r="BA57" s="249">
        <f t="shared" si="18"/>
        <v>88707.105758794365</v>
      </c>
      <c r="BB57" s="249">
        <f t="shared" si="7"/>
        <v>12672.443679827766</v>
      </c>
      <c r="BC57" s="249">
        <f t="shared" si="19"/>
        <v>106.48264573933021</v>
      </c>
      <c r="BD57" s="249">
        <f t="shared" si="20"/>
        <v>16128.56468341716</v>
      </c>
      <c r="BE57" s="249">
        <f t="shared" si="8"/>
        <v>2304.0806690595941</v>
      </c>
    </row>
    <row r="58" spans="2:57">
      <c r="AI58" s="239">
        <v>38</v>
      </c>
      <c r="AJ58" s="249">
        <f t="shared" si="9"/>
        <v>2599.6145327297895</v>
      </c>
      <c r="AK58" s="249">
        <f t="shared" si="10"/>
        <v>421487.68232056667</v>
      </c>
      <c r="AL58" s="249">
        <f t="shared" si="3"/>
        <v>60212.526045795239</v>
      </c>
      <c r="AM58" s="249">
        <f t="shared" si="11"/>
        <v>472.6571877690526</v>
      </c>
      <c r="AN58" s="249">
        <f t="shared" si="12"/>
        <v>76634.124058284826</v>
      </c>
      <c r="AO58" s="249">
        <f t="shared" si="4"/>
        <v>10947.732008326404</v>
      </c>
      <c r="AQ58" s="239">
        <v>38</v>
      </c>
      <c r="AR58" s="249">
        <f t="shared" si="13"/>
        <v>760.42191118059657</v>
      </c>
      <c r="AS58" s="249">
        <f t="shared" si="14"/>
        <v>123290.76672483729</v>
      </c>
      <c r="AT58" s="249">
        <f t="shared" si="5"/>
        <v>17612.966674976757</v>
      </c>
      <c r="AU58" s="249">
        <f t="shared" si="15"/>
        <v>138.258529305563</v>
      </c>
      <c r="AV58" s="249">
        <f t="shared" si="16"/>
        <v>22416.503040879503</v>
      </c>
      <c r="AW58" s="249">
        <f t="shared" si="6"/>
        <v>3202.3575772685003</v>
      </c>
      <c r="AY58" s="239">
        <v>38</v>
      </c>
      <c r="AZ58" s="249">
        <f t="shared" si="17"/>
        <v>550.51527847233717</v>
      </c>
      <c r="BA58" s="249">
        <f t="shared" si="18"/>
        <v>89257.621037266697</v>
      </c>
      <c r="BB58" s="249">
        <f t="shared" si="7"/>
        <v>12751.088719609528</v>
      </c>
      <c r="BC58" s="249">
        <f t="shared" si="19"/>
        <v>100.0936869949704</v>
      </c>
      <c r="BD58" s="249">
        <f t="shared" si="20"/>
        <v>16228.658370412131</v>
      </c>
      <c r="BE58" s="249">
        <f t="shared" si="8"/>
        <v>2318.3797672017331</v>
      </c>
    </row>
    <row r="59" spans="2:57">
      <c r="AI59" s="239">
        <v>39</v>
      </c>
      <c r="AJ59" s="249">
        <f t="shared" si="9"/>
        <v>2443.6376607660018</v>
      </c>
      <c r="AK59" s="249">
        <f t="shared" si="10"/>
        <v>423931.31998133269</v>
      </c>
      <c r="AL59" s="249">
        <f t="shared" si="3"/>
        <v>60561.617140190385</v>
      </c>
      <c r="AM59" s="249">
        <f t="shared" si="11"/>
        <v>444.29775650290941</v>
      </c>
      <c r="AN59" s="249">
        <f t="shared" si="12"/>
        <v>77078.42181478774</v>
      </c>
      <c r="AO59" s="249">
        <f t="shared" si="4"/>
        <v>11011.203116398248</v>
      </c>
      <c r="AQ59" s="239">
        <v>39</v>
      </c>
      <c r="AR59" s="249">
        <f t="shared" si="13"/>
        <v>714.79659650976066</v>
      </c>
      <c r="AS59" s="249">
        <f t="shared" si="14"/>
        <v>124005.56332134704</v>
      </c>
      <c r="AT59" s="249">
        <f t="shared" si="5"/>
        <v>17715.080474478149</v>
      </c>
      <c r="AU59" s="249">
        <f t="shared" si="15"/>
        <v>129.96301754722921</v>
      </c>
      <c r="AV59" s="249">
        <f t="shared" si="16"/>
        <v>22546.466058426733</v>
      </c>
      <c r="AW59" s="249">
        <f t="shared" si="6"/>
        <v>3220.9237226323903</v>
      </c>
      <c r="AY59" s="239">
        <v>39</v>
      </c>
      <c r="AZ59" s="249">
        <f t="shared" si="17"/>
        <v>517.48436176399684</v>
      </c>
      <c r="BA59" s="249">
        <f t="shared" si="18"/>
        <v>89775.105399030697</v>
      </c>
      <c r="BB59" s="249">
        <f t="shared" si="7"/>
        <v>12825.015057004386</v>
      </c>
      <c r="BC59" s="249">
        <f t="shared" si="19"/>
        <v>94.088065775272156</v>
      </c>
      <c r="BD59" s="249">
        <f t="shared" si="20"/>
        <v>16322.746436187403</v>
      </c>
      <c r="BE59" s="249">
        <f t="shared" si="8"/>
        <v>2331.8209194553433</v>
      </c>
    </row>
    <row r="60" spans="2:57">
      <c r="AI60" s="239">
        <v>40</v>
      </c>
      <c r="AJ60" s="249">
        <f t="shared" si="9"/>
        <v>2297.0194011200415</v>
      </c>
      <c r="AK60" s="249">
        <f t="shared" si="10"/>
        <v>426228.33938245272</v>
      </c>
      <c r="AL60" s="249">
        <f t="shared" si="3"/>
        <v>60889.762768921813</v>
      </c>
      <c r="AM60" s="249">
        <f t="shared" si="11"/>
        <v>417.63989111273486</v>
      </c>
      <c r="AN60" s="249">
        <f t="shared" si="12"/>
        <v>77496.061705900473</v>
      </c>
      <c r="AO60" s="249">
        <f t="shared" si="4"/>
        <v>11070.865957985781</v>
      </c>
      <c r="AQ60" s="239">
        <v>40</v>
      </c>
      <c r="AR60" s="249">
        <f t="shared" si="13"/>
        <v>671.90880071917502</v>
      </c>
      <c r="AS60" s="249">
        <f t="shared" si="14"/>
        <v>124677.47212206622</v>
      </c>
      <c r="AT60" s="249">
        <f t="shared" si="5"/>
        <v>17811.06744600946</v>
      </c>
      <c r="AU60" s="249">
        <f t="shared" si="15"/>
        <v>122.16523649439546</v>
      </c>
      <c r="AV60" s="249">
        <f t="shared" si="16"/>
        <v>22668.631294921128</v>
      </c>
      <c r="AW60" s="249">
        <f t="shared" si="6"/>
        <v>3238.375899274447</v>
      </c>
      <c r="AY60" s="239">
        <v>40</v>
      </c>
      <c r="AZ60" s="249">
        <f t="shared" si="17"/>
        <v>486.43530005815711</v>
      </c>
      <c r="BA60" s="249">
        <f t="shared" si="18"/>
        <v>90261.540699088859</v>
      </c>
      <c r="BB60" s="249">
        <f t="shared" si="7"/>
        <v>12894.505814155551</v>
      </c>
      <c r="BC60" s="249">
        <f t="shared" si="19"/>
        <v>88.442781828755841</v>
      </c>
      <c r="BD60" s="249">
        <f t="shared" si="20"/>
        <v>16411.189218016159</v>
      </c>
      <c r="BE60" s="249">
        <f t="shared" si="8"/>
        <v>2344.455602573737</v>
      </c>
    </row>
    <row r="61" spans="2:57">
      <c r="AI61" s="239">
        <v>41</v>
      </c>
      <c r="AJ61" s="249">
        <f t="shared" si="9"/>
        <v>2159.198237052839</v>
      </c>
      <c r="AK61" s="249">
        <f t="shared" si="10"/>
        <v>428387.53761950554</v>
      </c>
      <c r="AL61" s="249">
        <f t="shared" si="3"/>
        <v>61198.21965992936</v>
      </c>
      <c r="AM61" s="249">
        <f t="shared" si="11"/>
        <v>392.58149764597073</v>
      </c>
      <c r="AN61" s="249">
        <f t="shared" si="12"/>
        <v>77888.643203546439</v>
      </c>
      <c r="AO61" s="249">
        <f t="shared" si="4"/>
        <v>11126.949029078063</v>
      </c>
      <c r="AQ61" s="239">
        <v>41</v>
      </c>
      <c r="AR61" s="249">
        <f t="shared" si="13"/>
        <v>631.5942726760245</v>
      </c>
      <c r="AS61" s="249">
        <f t="shared" si="14"/>
        <v>125309.06639474224</v>
      </c>
      <c r="AT61" s="249">
        <f t="shared" si="5"/>
        <v>17901.295199248892</v>
      </c>
      <c r="AU61" s="249">
        <f t="shared" si="15"/>
        <v>114.83532230473173</v>
      </c>
      <c r="AV61" s="249">
        <f t="shared" si="16"/>
        <v>22783.466617225858</v>
      </c>
      <c r="AW61" s="249">
        <f t="shared" si="6"/>
        <v>3254.7809453179798</v>
      </c>
      <c r="AY61" s="239">
        <v>41</v>
      </c>
      <c r="AZ61" s="249">
        <f t="shared" si="17"/>
        <v>457.24918205466764</v>
      </c>
      <c r="BA61" s="249">
        <f t="shared" si="18"/>
        <v>90718.78988114353</v>
      </c>
      <c r="BB61" s="249">
        <f t="shared" si="7"/>
        <v>12959.827125877648</v>
      </c>
      <c r="BC61" s="249">
        <f t="shared" si="19"/>
        <v>83.136214919030479</v>
      </c>
      <c r="BD61" s="249">
        <f t="shared" si="20"/>
        <v>16494.325432935191</v>
      </c>
      <c r="BE61" s="249">
        <f t="shared" si="8"/>
        <v>2356.3322047050274</v>
      </c>
    </row>
    <row r="62" spans="2:57">
      <c r="AI62" s="239">
        <v>42</v>
      </c>
      <c r="AJ62" s="249">
        <f t="shared" si="9"/>
        <v>2029.6463428296686</v>
      </c>
      <c r="AK62" s="249">
        <f t="shared" si="10"/>
        <v>430417.18396233523</v>
      </c>
      <c r="AL62" s="249">
        <f t="shared" si="3"/>
        <v>61488.169137476463</v>
      </c>
      <c r="AM62" s="249">
        <f t="shared" si="11"/>
        <v>369.02660778721247</v>
      </c>
      <c r="AN62" s="249">
        <f t="shared" si="12"/>
        <v>78257.669811333646</v>
      </c>
      <c r="AO62" s="249">
        <f t="shared" si="4"/>
        <v>11179.667115904807</v>
      </c>
      <c r="AQ62" s="239">
        <v>42</v>
      </c>
      <c r="AR62" s="249">
        <f t="shared" si="13"/>
        <v>593.69861631546303</v>
      </c>
      <c r="AS62" s="249">
        <f t="shared" si="14"/>
        <v>125902.76501105771</v>
      </c>
      <c r="AT62" s="249">
        <f t="shared" si="5"/>
        <v>17986.109287293959</v>
      </c>
      <c r="AU62" s="249">
        <f t="shared" si="15"/>
        <v>107.94520296644784</v>
      </c>
      <c r="AV62" s="249">
        <f t="shared" si="16"/>
        <v>22891.411820192305</v>
      </c>
      <c r="AW62" s="249">
        <f t="shared" si="6"/>
        <v>3270.2016885989005</v>
      </c>
      <c r="AY62" s="239">
        <v>42</v>
      </c>
      <c r="AZ62" s="249">
        <f t="shared" si="17"/>
        <v>429.8142311313876</v>
      </c>
      <c r="BA62" s="249">
        <f t="shared" si="18"/>
        <v>91148.604112274916</v>
      </c>
      <c r="BB62" s="249">
        <f t="shared" si="7"/>
        <v>13021.229158896416</v>
      </c>
      <c r="BC62" s="249">
        <f t="shared" si="19"/>
        <v>78.148042023888664</v>
      </c>
      <c r="BD62" s="249">
        <f t="shared" si="20"/>
        <v>16572.473474959079</v>
      </c>
      <c r="BE62" s="249">
        <f t="shared" si="8"/>
        <v>2367.4962107084398</v>
      </c>
    </row>
    <row r="63" spans="2:57">
      <c r="AI63" s="239">
        <v>43</v>
      </c>
      <c r="AJ63" s="249">
        <f t="shared" si="9"/>
        <v>1907.8675622598887</v>
      </c>
      <c r="AK63" s="249">
        <f t="shared" si="10"/>
        <v>432325.05152459512</v>
      </c>
      <c r="AL63" s="249">
        <f t="shared" si="3"/>
        <v>61760.72164637073</v>
      </c>
      <c r="AM63" s="249">
        <f t="shared" si="11"/>
        <v>346.88501131997975</v>
      </c>
      <c r="AN63" s="249">
        <f t="shared" si="12"/>
        <v>78604.554822653619</v>
      </c>
      <c r="AO63" s="249">
        <f t="shared" si="4"/>
        <v>11229.222117521946</v>
      </c>
      <c r="AQ63" s="239">
        <v>43</v>
      </c>
      <c r="AR63" s="249">
        <f t="shared" si="13"/>
        <v>558.07669933653517</v>
      </c>
      <c r="AS63" s="249">
        <f t="shared" si="14"/>
        <v>126460.84171039425</v>
      </c>
      <c r="AT63" s="249">
        <f t="shared" si="5"/>
        <v>18065.83453005632</v>
      </c>
      <c r="AU63" s="249">
        <f t="shared" si="15"/>
        <v>101.46849078846095</v>
      </c>
      <c r="AV63" s="249">
        <f t="shared" si="16"/>
        <v>22992.880310980767</v>
      </c>
      <c r="AW63" s="249">
        <f t="shared" si="6"/>
        <v>3284.6971872829668</v>
      </c>
      <c r="AY63" s="239">
        <v>43</v>
      </c>
      <c r="AZ63" s="249">
        <f t="shared" si="17"/>
        <v>404.02537726350431</v>
      </c>
      <c r="BA63" s="249">
        <f t="shared" si="18"/>
        <v>91552.62948953842</v>
      </c>
      <c r="BB63" s="249">
        <f t="shared" si="7"/>
        <v>13078.94706993406</v>
      </c>
      <c r="BC63" s="249">
        <f t="shared" si="19"/>
        <v>73.459159502455336</v>
      </c>
      <c r="BD63" s="249">
        <f t="shared" si="20"/>
        <v>16645.932634461533</v>
      </c>
      <c r="BE63" s="249">
        <f t="shared" si="8"/>
        <v>2377.9903763516477</v>
      </c>
    </row>
    <row r="64" spans="2:57">
      <c r="AI64" s="239">
        <v>44</v>
      </c>
      <c r="AJ64" s="249">
        <f t="shared" si="9"/>
        <v>1793.3955085242953</v>
      </c>
      <c r="AK64" s="249">
        <f t="shared" si="10"/>
        <v>434118.44703311945</v>
      </c>
      <c r="AL64" s="249">
        <f t="shared" si="3"/>
        <v>62016.921004731346</v>
      </c>
      <c r="AM64" s="249">
        <f t="shared" si="11"/>
        <v>326.07191064078097</v>
      </c>
      <c r="AN64" s="249">
        <f t="shared" si="12"/>
        <v>78930.626733294397</v>
      </c>
      <c r="AO64" s="249">
        <f t="shared" si="4"/>
        <v>11275.803819042058</v>
      </c>
      <c r="AQ64" s="239">
        <v>44</v>
      </c>
      <c r="AR64" s="249">
        <f t="shared" si="13"/>
        <v>524.59209737634319</v>
      </c>
      <c r="AS64" s="249">
        <f t="shared" si="14"/>
        <v>126985.43380777059</v>
      </c>
      <c r="AT64" s="249">
        <f t="shared" si="5"/>
        <v>18140.776258252943</v>
      </c>
      <c r="AU64" s="249">
        <f t="shared" si="15"/>
        <v>95.380381341153296</v>
      </c>
      <c r="AV64" s="249">
        <f t="shared" si="16"/>
        <v>23088.260692321921</v>
      </c>
      <c r="AW64" s="249">
        <f t="shared" si="6"/>
        <v>3298.3229560459886</v>
      </c>
      <c r="AY64" s="239">
        <v>44</v>
      </c>
      <c r="AZ64" s="249">
        <f t="shared" si="17"/>
        <v>379.78385462769404</v>
      </c>
      <c r="BA64" s="249">
        <f t="shared" si="18"/>
        <v>91932.413344166111</v>
      </c>
      <c r="BB64" s="249">
        <f t="shared" si="7"/>
        <v>13133.201906309445</v>
      </c>
      <c r="BC64" s="249">
        <f t="shared" si="19"/>
        <v>69.051609932308011</v>
      </c>
      <c r="BD64" s="249">
        <f t="shared" si="20"/>
        <v>16714.98424439384</v>
      </c>
      <c r="BE64" s="249">
        <f t="shared" si="8"/>
        <v>2387.854892056263</v>
      </c>
    </row>
    <row r="65" spans="35:57">
      <c r="AI65" s="239">
        <v>45</v>
      </c>
      <c r="AJ65" s="249">
        <f t="shared" si="9"/>
        <v>1685.7917780128373</v>
      </c>
      <c r="AK65" s="249">
        <f t="shared" si="10"/>
        <v>435804.23881113227</v>
      </c>
      <c r="AL65" s="249">
        <f t="shared" si="3"/>
        <v>62257.748401590325</v>
      </c>
      <c r="AM65" s="249">
        <f t="shared" si="11"/>
        <v>306.50759600233408</v>
      </c>
      <c r="AN65" s="249">
        <f t="shared" si="12"/>
        <v>79237.134329296736</v>
      </c>
      <c r="AO65" s="249">
        <f t="shared" si="4"/>
        <v>11319.590618470962</v>
      </c>
      <c r="AQ65" s="239">
        <v>45</v>
      </c>
      <c r="AR65" s="249">
        <f t="shared" si="13"/>
        <v>493.11657153376245</v>
      </c>
      <c r="AS65" s="249">
        <f t="shared" si="14"/>
        <v>127478.55037930435</v>
      </c>
      <c r="AT65" s="249">
        <f t="shared" si="5"/>
        <v>18211.221482757763</v>
      </c>
      <c r="AU65" s="249">
        <f t="shared" si="15"/>
        <v>89.657558460684086</v>
      </c>
      <c r="AV65" s="249">
        <f t="shared" si="16"/>
        <v>23177.918250782604</v>
      </c>
      <c r="AW65" s="249">
        <f t="shared" si="6"/>
        <v>3311.1311786832293</v>
      </c>
      <c r="AY65" s="239">
        <v>45</v>
      </c>
      <c r="AZ65" s="249">
        <f t="shared" si="17"/>
        <v>356.9968233500324</v>
      </c>
      <c r="BA65" s="249">
        <f t="shared" si="18"/>
        <v>92289.410167516136</v>
      </c>
      <c r="BB65" s="249">
        <f t="shared" si="7"/>
        <v>13184.201452502306</v>
      </c>
      <c r="BC65" s="249">
        <f t="shared" si="19"/>
        <v>64.908513336369523</v>
      </c>
      <c r="BD65" s="249">
        <f t="shared" si="20"/>
        <v>16779.892757730209</v>
      </c>
      <c r="BE65" s="249">
        <f t="shared" si="8"/>
        <v>2397.1275368186011</v>
      </c>
    </row>
    <row r="66" spans="35:57">
      <c r="AI66" s="239">
        <v>46</v>
      </c>
      <c r="AJ66" s="249">
        <f t="shared" si="9"/>
        <v>1584.6442713320673</v>
      </c>
      <c r="AK66" s="249">
        <f t="shared" si="10"/>
        <v>437388.88308246434</v>
      </c>
      <c r="AL66" s="249">
        <f t="shared" si="3"/>
        <v>62484.126154637765</v>
      </c>
      <c r="AM66" s="249">
        <f t="shared" si="11"/>
        <v>288.11714024219407</v>
      </c>
      <c r="AN66" s="249">
        <f t="shared" si="12"/>
        <v>79525.251469538925</v>
      </c>
      <c r="AO66" s="249">
        <f t="shared" si="4"/>
        <v>11360.750209934133</v>
      </c>
      <c r="AQ66" s="239">
        <v>46</v>
      </c>
      <c r="AR66" s="249">
        <f t="shared" si="13"/>
        <v>463.52957724173683</v>
      </c>
      <c r="AS66" s="249">
        <f t="shared" si="14"/>
        <v>127942.07995654608</v>
      </c>
      <c r="AT66" s="249">
        <f t="shared" si="5"/>
        <v>18277.439993792297</v>
      </c>
      <c r="AU66" s="249">
        <f t="shared" si="15"/>
        <v>84.278104953043055</v>
      </c>
      <c r="AV66" s="249">
        <f t="shared" si="16"/>
        <v>23262.196355735647</v>
      </c>
      <c r="AW66" s="249">
        <f t="shared" si="6"/>
        <v>3323.1709079622351</v>
      </c>
      <c r="AY66" s="239">
        <v>46</v>
      </c>
      <c r="AZ66" s="249">
        <f t="shared" si="17"/>
        <v>335.57701394903046</v>
      </c>
      <c r="BA66" s="249">
        <f t="shared" si="18"/>
        <v>92624.987181465171</v>
      </c>
      <c r="BB66" s="249">
        <f t="shared" si="7"/>
        <v>13232.141025923596</v>
      </c>
      <c r="BC66" s="249">
        <f t="shared" si="19"/>
        <v>61.014002536187355</v>
      </c>
      <c r="BD66" s="249">
        <f t="shared" si="20"/>
        <v>16840.906760266396</v>
      </c>
      <c r="BE66" s="249">
        <f t="shared" si="8"/>
        <v>2405.8438228951995</v>
      </c>
    </row>
    <row r="67" spans="35:57">
      <c r="AI67" s="239">
        <v>47</v>
      </c>
      <c r="AJ67" s="249">
        <f t="shared" si="9"/>
        <v>1489.5656150521431</v>
      </c>
      <c r="AK67" s="249">
        <f t="shared" si="10"/>
        <v>438878.44869751646</v>
      </c>
      <c r="AL67" s="249">
        <f t="shared" si="3"/>
        <v>62696.921242502351</v>
      </c>
      <c r="AM67" s="249">
        <f t="shared" si="11"/>
        <v>270.83011182766239</v>
      </c>
      <c r="AN67" s="249">
        <f t="shared" si="12"/>
        <v>79796.081581366583</v>
      </c>
      <c r="AO67" s="249">
        <f t="shared" si="4"/>
        <v>11399.440225909511</v>
      </c>
      <c r="AQ67" s="239">
        <v>47</v>
      </c>
      <c r="AR67" s="249">
        <f t="shared" si="13"/>
        <v>435.7178026072325</v>
      </c>
      <c r="AS67" s="249">
        <f t="shared" si="14"/>
        <v>128377.79775915331</v>
      </c>
      <c r="AT67" s="249">
        <f t="shared" si="5"/>
        <v>18339.685394164761</v>
      </c>
      <c r="AU67" s="249">
        <f t="shared" si="15"/>
        <v>79.221418655860461</v>
      </c>
      <c r="AV67" s="249">
        <f t="shared" si="16"/>
        <v>23341.417774391506</v>
      </c>
      <c r="AW67" s="249">
        <f t="shared" si="6"/>
        <v>3334.488253484501</v>
      </c>
      <c r="AY67" s="239">
        <v>47</v>
      </c>
      <c r="AZ67" s="249">
        <f t="shared" si="17"/>
        <v>315.44239311208855</v>
      </c>
      <c r="BA67" s="249">
        <f t="shared" si="18"/>
        <v>92940.429574577254</v>
      </c>
      <c r="BB67" s="249">
        <f t="shared" si="7"/>
        <v>13277.204224939607</v>
      </c>
      <c r="BC67" s="249">
        <f t="shared" si="19"/>
        <v>57.353162384016109</v>
      </c>
      <c r="BD67" s="249">
        <f t="shared" si="20"/>
        <v>16898.259922650414</v>
      </c>
      <c r="BE67" s="249">
        <f t="shared" si="8"/>
        <v>2414.0371318072021</v>
      </c>
    </row>
    <row r="68" spans="35:57">
      <c r="AI68" s="239">
        <v>48</v>
      </c>
      <c r="AJ68" s="249">
        <f t="shared" si="9"/>
        <v>1400.1916781490147</v>
      </c>
      <c r="AK68" s="249">
        <f t="shared" si="10"/>
        <v>440278.64037566551</v>
      </c>
      <c r="AL68" s="249">
        <f t="shared" si="3"/>
        <v>62896.948625095072</v>
      </c>
      <c r="AM68" s="249">
        <f t="shared" si="11"/>
        <v>254.58030511800266</v>
      </c>
      <c r="AN68" s="249">
        <f t="shared" si="12"/>
        <v>80050.66188648458</v>
      </c>
      <c r="AO68" s="249">
        <f t="shared" si="4"/>
        <v>11435.808840926369</v>
      </c>
      <c r="AQ68" s="239">
        <v>48</v>
      </c>
      <c r="AR68" s="249">
        <f t="shared" si="13"/>
        <v>409.57473445079859</v>
      </c>
      <c r="AS68" s="249">
        <f t="shared" si="14"/>
        <v>128787.37249360411</v>
      </c>
      <c r="AT68" s="249">
        <f t="shared" si="5"/>
        <v>18398.196070514874</v>
      </c>
      <c r="AU68" s="249">
        <f t="shared" si="15"/>
        <v>74.46813353650883</v>
      </c>
      <c r="AV68" s="249">
        <f t="shared" si="16"/>
        <v>23415.885907928016</v>
      </c>
      <c r="AW68" s="249">
        <f t="shared" si="6"/>
        <v>3345.1265582754309</v>
      </c>
      <c r="AY68" s="239">
        <v>48</v>
      </c>
      <c r="AZ68" s="249">
        <f t="shared" si="17"/>
        <v>296.51584952536331</v>
      </c>
      <c r="BA68" s="249">
        <f t="shared" si="18"/>
        <v>93236.945424102611</v>
      </c>
      <c r="BB68" s="249">
        <f t="shared" si="7"/>
        <v>13319.563632014659</v>
      </c>
      <c r="BC68" s="249">
        <f t="shared" si="19"/>
        <v>53.911972640975144</v>
      </c>
      <c r="BD68" s="249">
        <f t="shared" si="20"/>
        <v>16952.171895291387</v>
      </c>
      <c r="BE68" s="249">
        <f t="shared" si="8"/>
        <v>2421.7388421844839</v>
      </c>
    </row>
    <row r="69" spans="35:57">
      <c r="AI69" s="239">
        <v>49</v>
      </c>
      <c r="AJ69" s="249">
        <f t="shared" si="9"/>
        <v>1316.1801774600738</v>
      </c>
      <c r="AK69" s="249">
        <f t="shared" si="10"/>
        <v>441594.82055312558</v>
      </c>
      <c r="AL69" s="249">
        <f t="shared" si="3"/>
        <v>63084.974364732225</v>
      </c>
      <c r="AM69" s="249">
        <f t="shared" si="11"/>
        <v>239.3054868109225</v>
      </c>
      <c r="AN69" s="249">
        <f t="shared" si="12"/>
        <v>80289.967373295498</v>
      </c>
      <c r="AO69" s="249">
        <f t="shared" si="4"/>
        <v>11469.995339042214</v>
      </c>
      <c r="AQ69" s="239">
        <v>49</v>
      </c>
      <c r="AR69" s="249">
        <f t="shared" si="13"/>
        <v>385.00025038375065</v>
      </c>
      <c r="AS69" s="249">
        <f t="shared" si="14"/>
        <v>129172.37274398786</v>
      </c>
      <c r="AT69" s="249">
        <f t="shared" si="5"/>
        <v>18453.19610628398</v>
      </c>
      <c r="AU69" s="249">
        <f t="shared" si="15"/>
        <v>70.00004552431831</v>
      </c>
      <c r="AV69" s="249">
        <f t="shared" si="16"/>
        <v>23485.885953452333</v>
      </c>
      <c r="AW69" s="249">
        <f t="shared" si="6"/>
        <v>3355.1265647789046</v>
      </c>
      <c r="AY69" s="239">
        <v>49</v>
      </c>
      <c r="AZ69" s="249">
        <f t="shared" si="17"/>
        <v>278.72489855384151</v>
      </c>
      <c r="BA69" s="249">
        <f t="shared" si="18"/>
        <v>93515.670322656457</v>
      </c>
      <c r="BB69" s="249">
        <f t="shared" si="7"/>
        <v>13359.381474665208</v>
      </c>
      <c r="BC69" s="249">
        <f t="shared" si="19"/>
        <v>50.677254282516643</v>
      </c>
      <c r="BD69" s="249">
        <f t="shared" si="20"/>
        <v>17002.849149573904</v>
      </c>
      <c r="BE69" s="249">
        <f t="shared" si="8"/>
        <v>2428.978449939129</v>
      </c>
    </row>
    <row r="70" spans="35:57">
      <c r="AI70" s="239">
        <v>50</v>
      </c>
      <c r="AJ70" s="249">
        <f t="shared" si="9"/>
        <v>1237.2093668124694</v>
      </c>
      <c r="AK70" s="249">
        <f t="shared" si="10"/>
        <v>442832.02991993807</v>
      </c>
      <c r="AL70" s="249">
        <f t="shared" si="3"/>
        <v>63261.718559991154</v>
      </c>
      <c r="AM70" s="249">
        <f t="shared" si="11"/>
        <v>224.94715760226714</v>
      </c>
      <c r="AN70" s="249">
        <f t="shared" si="12"/>
        <v>80514.91453089776</v>
      </c>
      <c r="AO70" s="249">
        <f t="shared" si="4"/>
        <v>11502.130647271109</v>
      </c>
      <c r="AQ70" s="239">
        <v>50</v>
      </c>
      <c r="AR70" s="249">
        <f t="shared" si="13"/>
        <v>361.90023536072562</v>
      </c>
      <c r="AS70" s="249">
        <f t="shared" si="14"/>
        <v>129534.27297934858</v>
      </c>
      <c r="AT70" s="249">
        <f t="shared" si="5"/>
        <v>18504.896139906941</v>
      </c>
      <c r="AU70" s="249">
        <f t="shared" si="15"/>
        <v>65.800042792859202</v>
      </c>
      <c r="AV70" s="249">
        <f t="shared" si="16"/>
        <v>23551.685996245193</v>
      </c>
      <c r="AW70" s="249">
        <f t="shared" si="6"/>
        <v>3364.5265708921702</v>
      </c>
      <c r="AY70" s="239">
        <v>50</v>
      </c>
      <c r="AZ70" s="249">
        <f t="shared" si="17"/>
        <v>262.00140464061104</v>
      </c>
      <c r="BA70" s="249">
        <f t="shared" si="18"/>
        <v>93777.671727297071</v>
      </c>
      <c r="BB70" s="249">
        <f t="shared" si="7"/>
        <v>13396.810246756724</v>
      </c>
      <c r="BC70" s="249">
        <f t="shared" si="19"/>
        <v>47.636619025565643</v>
      </c>
      <c r="BD70" s="249">
        <f t="shared" si="20"/>
        <v>17050.485768599468</v>
      </c>
      <c r="BE70" s="249">
        <f t="shared" si="8"/>
        <v>2435.7836812284954</v>
      </c>
    </row>
  </sheetData>
  <sheetProtection algorithmName="SHA-512" hashValue="p3TReJjS0+wchU2Dlx7+FQ20t/o20TFBeN0s+Q+KjalZrLuSEJ3uSKj+UnhfKKh0nt+/93ONcckkuTrFIsqhHQ==" saltValue="44KkWyh9POcE0vfs9B22tQ==" spinCount="100000" sheet="1" objects="1" scenarios="1"/>
  <mergeCells count="6">
    <mergeCell ref="BC19:BE19"/>
    <mergeCell ref="AJ19:AL19"/>
    <mergeCell ref="AM19:AO19"/>
    <mergeCell ref="AR19:AT19"/>
    <mergeCell ref="AU19:AW19"/>
    <mergeCell ref="AZ19:BB19"/>
  </mergeCells>
  <phoneticPr fontId="13" type="noConversion"/>
  <dataValidations count="3">
    <dataValidation type="list" allowBlank="1" showInputMessage="1" showErrorMessage="1" sqref="E6" xr:uid="{1DBBFB0E-4B25-4D75-B0D6-6EC43A916AB0}">
      <formula1>$T$17:$T$19</formula1>
    </dataValidation>
    <dataValidation type="list" allowBlank="1" showInputMessage="1" showErrorMessage="1" sqref="F6" xr:uid="{500A959A-79BA-4098-853A-0B09A9416307}">
      <formula1>$Z$17:$Z$19</formula1>
    </dataValidation>
    <dataValidation type="list" allowBlank="1" showInputMessage="1" showErrorMessage="1" sqref="G6" xr:uid="{DEFB0D33-F782-4EF4-BD33-2074E8BFF551}">
      <formula1>$Z$20:$Z$24</formula1>
    </dataValidation>
  </dataValidations>
  <pageMargins left="0.75" right="0.75" top="0.81" bottom="1" header="0.5" footer="0.5"/>
  <pageSetup scale="87" orientation="portrait" r:id="rId1"/>
  <headerFooter alignWithMargins="0"/>
  <drawing r:id="rId2"/>
  <legacyDrawing r:id="rId3"/>
  <mc:AlternateContent xmlns:mc="http://schemas.openxmlformats.org/markup-compatibility/2006">
    <mc:Choice Requires="x14">
      <controls>
        <mc:AlternateContent xmlns:mc="http://schemas.openxmlformats.org/markup-compatibility/2006">
          <mc:Choice Requires="x14">
            <control shapeId="7180" r:id="rId4" name="Button 12">
              <controlPr defaultSize="0" print="0" autoFill="0" autoPict="0" macro="[0]!menu">
                <anchor moveWithCells="1" sizeWithCells="1">
                  <from>
                    <xdr:col>9</xdr:col>
                    <xdr:colOff>0</xdr:colOff>
                    <xdr:row>9</xdr:row>
                    <xdr:rowOff>0</xdr:rowOff>
                  </from>
                  <to>
                    <xdr:col>10</xdr:col>
                    <xdr:colOff>0</xdr:colOff>
                    <xdr:row>11</xdr:row>
                    <xdr:rowOff>0</xdr:rowOff>
                  </to>
                </anchor>
              </controlPr>
            </control>
          </mc:Choice>
        </mc:AlternateContent>
        <mc:AlternateContent xmlns:mc="http://schemas.openxmlformats.org/markup-compatibility/2006">
          <mc:Choice Requires="x14">
            <control shapeId="7181" r:id="rId5" name="Button 13">
              <controlPr defaultSize="0" print="0" autoFill="0" autoPict="0" macro="[0]!Sheet2.printcombine">
                <anchor moveWithCells="1" sizeWithCells="1">
                  <from>
                    <xdr:col>9</xdr:col>
                    <xdr:colOff>0</xdr:colOff>
                    <xdr:row>12</xdr:row>
                    <xdr:rowOff>0</xdr:rowOff>
                  </from>
                  <to>
                    <xdr:col>10</xdr:col>
                    <xdr:colOff>0</xdr:colOff>
                    <xdr:row>14</xdr:row>
                    <xdr:rowOff>0</xdr:rowOff>
                  </to>
                </anchor>
              </controlPr>
            </control>
          </mc:Choice>
        </mc:AlternateContent>
        <mc:AlternateContent xmlns:mc="http://schemas.openxmlformats.org/markup-compatibility/2006">
          <mc:Choice Requires="x14">
            <control shapeId="7183" r:id="rId6" name="Button 15">
              <controlPr defaultSize="0" print="0" autoFill="0" autoPict="0" macro="[0]!Sheet2.combine_defaults">
                <anchor moveWithCells="1" sizeWithCells="1">
                  <from>
                    <xdr:col>2</xdr:col>
                    <xdr:colOff>0</xdr:colOff>
                    <xdr:row>1</xdr:row>
                    <xdr:rowOff>19050</xdr:rowOff>
                  </from>
                  <to>
                    <xdr:col>5</xdr:col>
                    <xdr:colOff>0</xdr:colOff>
                    <xdr:row>2</xdr:row>
                    <xdr:rowOff>0</xdr:rowOff>
                  </to>
                </anchor>
              </controlPr>
            </control>
          </mc:Choice>
        </mc:AlternateContent>
        <mc:AlternateContent xmlns:mc="http://schemas.openxmlformats.org/markup-compatibility/2006">
          <mc:Choice Requires="x14">
            <control shapeId="7185" r:id="rId7" name="Button 17">
              <controlPr defaultSize="0" print="0" autoFill="0" autoPict="0" macro="[0]!Sheet2.combine_inter">
                <anchor moveWithCells="1" sizeWithCells="1">
                  <from>
                    <xdr:col>2</xdr:col>
                    <xdr:colOff>0</xdr:colOff>
                    <xdr:row>15</xdr:row>
                    <xdr:rowOff>0</xdr:rowOff>
                  </from>
                  <to>
                    <xdr:col>5</xdr:col>
                    <xdr:colOff>0</xdr:colOff>
                    <xdr:row>16</xdr:row>
                    <xdr:rowOff>0</xdr:rowOff>
                  </to>
                </anchor>
              </controlPr>
            </control>
          </mc:Choice>
        </mc:AlternateContent>
        <mc:AlternateContent xmlns:mc="http://schemas.openxmlformats.org/markup-compatibility/2006">
          <mc:Choice Requires="x14">
            <control shapeId="7187" r:id="rId8" name="Button 19">
              <controlPr defaultSize="0" print="0" autoFill="0" autoPict="0" macro="[0]!Sheet2.main_inputs">
                <anchor moveWithCells="1" sizeWithCells="1">
                  <from>
                    <xdr:col>9</xdr:col>
                    <xdr:colOff>0</xdr:colOff>
                    <xdr:row>16</xdr:row>
                    <xdr:rowOff>0</xdr:rowOff>
                  </from>
                  <to>
                    <xdr:col>11</xdr:col>
                    <xdr:colOff>0</xdr:colOff>
                    <xdr:row>17</xdr:row>
                    <xdr:rowOff>0</xdr:rowOff>
                  </to>
                </anchor>
              </controlPr>
            </control>
          </mc:Choice>
        </mc:AlternateContent>
      </controls>
    </mc:Choice>
  </mc:AlternateContent>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C5850DF-3C30-473E-BD2B-272416822EE0}">
  <sheetPr codeName="Sheet6"/>
  <dimension ref="B2:AY166"/>
  <sheetViews>
    <sheetView showGridLines="0" showRowColHeaders="0" zoomScaleNormal="100" workbookViewId="0">
      <pane ySplit="4" topLeftCell="A5" activePane="bottomLeft" state="frozen"/>
      <selection pane="bottomLeft" activeCell="E3" sqref="E3"/>
    </sheetView>
  </sheetViews>
  <sheetFormatPr defaultColWidth="8.90625" defaultRowHeight="12.5"/>
  <cols>
    <col min="1" max="2" width="1.36328125" customWidth="1"/>
    <col min="3" max="3" width="25.6328125" bestFit="1" customWidth="1"/>
    <col min="4" max="4" width="10" customWidth="1"/>
    <col min="5" max="5" width="8.453125" customWidth="1"/>
    <col min="6" max="6" width="1.54296875" customWidth="1"/>
    <col min="7" max="7" width="1.36328125" customWidth="1"/>
    <col min="8" max="8" width="19" customWidth="1"/>
    <col min="9" max="9" width="9.08984375" bestFit="1" customWidth="1"/>
    <col min="12" max="12" width="1.08984375" customWidth="1"/>
    <col min="13" max="13" width="0.90625" customWidth="1"/>
    <col min="14" max="14" width="9.08984375" style="239" customWidth="1"/>
    <col min="15" max="15" width="38.08984375" style="239" hidden="1" customWidth="1"/>
    <col min="16" max="16" width="17.36328125" style="239" hidden="1" customWidth="1"/>
    <col min="17" max="17" width="9.08984375" style="239" hidden="1" customWidth="1"/>
    <col min="18" max="18" width="19" style="239" hidden="1" customWidth="1"/>
    <col min="19" max="19" width="9.08984375" style="239" hidden="1" customWidth="1"/>
    <col min="20" max="20" width="15.54296875" style="239" hidden="1" customWidth="1"/>
    <col min="21" max="21" width="9.08984375" style="239" hidden="1" customWidth="1"/>
    <col min="22" max="22" width="19" style="239" hidden="1" customWidth="1"/>
    <col min="23" max="33" width="9.08984375" style="239" hidden="1" customWidth="1"/>
    <col min="34" max="34" width="9.08984375" hidden="1" customWidth="1"/>
    <col min="35" max="37" width="0" style="239" hidden="1" customWidth="1"/>
    <col min="38" max="39" width="10.08984375" style="239" hidden="1" customWidth="1"/>
    <col min="40" max="45" width="0" style="239" hidden="1" customWidth="1"/>
    <col min="46" max="51" width="0" hidden="1" customWidth="1"/>
  </cols>
  <sheetData>
    <row r="2" spans="2:49" ht="13">
      <c r="E2" s="22" t="s">
        <v>438</v>
      </c>
    </row>
    <row r="5" spans="2:49" ht="8.25" customHeight="1">
      <c r="B5" s="8"/>
      <c r="C5" s="9"/>
      <c r="D5" s="9"/>
      <c r="E5" s="9"/>
      <c r="F5" s="9"/>
      <c r="G5" s="9"/>
      <c r="H5" s="9"/>
      <c r="I5" s="9"/>
      <c r="J5" s="9"/>
      <c r="K5" s="9"/>
      <c r="L5" s="10"/>
    </row>
    <row r="6" spans="2:49" ht="13">
      <c r="B6" s="11"/>
      <c r="C6" s="107" t="s">
        <v>439</v>
      </c>
      <c r="D6" s="12"/>
      <c r="E6" s="12"/>
      <c r="F6" s="12"/>
      <c r="G6" s="12"/>
      <c r="H6" s="12"/>
      <c r="I6" s="12"/>
      <c r="J6" s="12"/>
      <c r="K6" s="12"/>
      <c r="L6" s="13"/>
      <c r="P6" s="286" t="s">
        <v>447</v>
      </c>
      <c r="Q6" s="286"/>
      <c r="R6" s="286" t="s">
        <v>448</v>
      </c>
      <c r="S6" s="286"/>
      <c r="T6" s="286" t="s">
        <v>333</v>
      </c>
      <c r="U6" s="286"/>
      <c r="V6" s="286" t="s">
        <v>334</v>
      </c>
      <c r="W6" s="286"/>
      <c r="X6" s="286" t="s">
        <v>335</v>
      </c>
      <c r="Y6" s="286"/>
      <c r="AD6" s="239" t="s">
        <v>419</v>
      </c>
      <c r="AE6" s="239" t="s">
        <v>420</v>
      </c>
      <c r="AF6" s="239" t="s">
        <v>421</v>
      </c>
      <c r="AG6" s="239" t="s">
        <v>422</v>
      </c>
      <c r="AH6" s="239"/>
      <c r="AL6"/>
      <c r="AT6" s="239"/>
      <c r="AU6" s="239"/>
      <c r="AV6" s="239"/>
      <c r="AW6" s="239"/>
    </row>
    <row r="7" spans="2:49" ht="6.75" customHeight="1">
      <c r="B7" s="11"/>
      <c r="C7" s="12"/>
      <c r="D7" s="12"/>
      <c r="E7" s="12"/>
      <c r="F7" s="12"/>
      <c r="G7" s="12"/>
      <c r="H7" s="12"/>
      <c r="I7" s="12"/>
      <c r="J7" s="12"/>
      <c r="K7" s="12"/>
      <c r="L7" s="13"/>
      <c r="AH7" s="239"/>
      <c r="AL7"/>
      <c r="AT7" s="239"/>
      <c r="AU7" s="239"/>
      <c r="AV7" s="239"/>
      <c r="AW7" s="239"/>
    </row>
    <row r="8" spans="2:49">
      <c r="B8" s="11"/>
      <c r="C8" s="253" t="s">
        <v>449</v>
      </c>
      <c r="D8" s="287" t="s">
        <v>470</v>
      </c>
      <c r="E8" s="287"/>
      <c r="F8" s="287"/>
      <c r="G8" s="287"/>
      <c r="H8" s="287"/>
      <c r="I8" s="287"/>
      <c r="J8" s="287"/>
      <c r="K8" s="287"/>
      <c r="L8" s="13"/>
      <c r="P8" s="239" t="s">
        <v>183</v>
      </c>
      <c r="Q8" s="239">
        <f>R25</f>
        <v>87700</v>
      </c>
      <c r="R8" s="239" t="s">
        <v>80</v>
      </c>
      <c r="S8" s="239">
        <f>ROUND(IF(D11=0,D10*D40,D10*AD9*AE9^D11),0)</f>
        <v>74545</v>
      </c>
      <c r="T8" s="239" t="s">
        <v>184</v>
      </c>
      <c r="U8" s="239">
        <f>0</f>
        <v>0</v>
      </c>
      <c r="V8" s="239" t="s">
        <v>80</v>
      </c>
      <c r="W8" s="239">
        <f>ROUND(IF(D26=0,D40*D27,D27*AD8*AE8^D26),0)</f>
        <v>354325</v>
      </c>
      <c r="X8" s="239" t="s">
        <v>80</v>
      </c>
      <c r="Y8" s="246">
        <v>0.85</v>
      </c>
      <c r="AC8" s="239">
        <v>1</v>
      </c>
      <c r="AD8" s="239">
        <f>VLOOKUP($AC$8,'tillage data'!$N$4:$R$17,2)</f>
        <v>0.67</v>
      </c>
      <c r="AE8" s="239">
        <f>VLOOKUP($AC$8,'tillage data'!$N$4:$R$17,3)</f>
        <v>0.94</v>
      </c>
      <c r="AF8" s="239">
        <f>VLOOKUP($AC$8,'tillage data'!$N$4:$R$17,4)</f>
        <v>7.0000000000000001E-3</v>
      </c>
      <c r="AG8" s="239">
        <f>VLOOKUP($AC$8,'tillage data'!$N$4:$R$17,5)</f>
        <v>2</v>
      </c>
      <c r="AH8" s="239"/>
      <c r="AL8"/>
      <c r="AT8" s="239"/>
      <c r="AU8" s="239"/>
      <c r="AV8" s="239"/>
      <c r="AW8" s="239"/>
    </row>
    <row r="9" spans="2:49" ht="13">
      <c r="B9" s="11"/>
      <c r="C9" s="12"/>
      <c r="D9" s="12"/>
      <c r="E9" s="12"/>
      <c r="F9" s="158"/>
      <c r="G9" s="159" t="s">
        <v>196</v>
      </c>
      <c r="H9" s="150"/>
      <c r="I9" s="156"/>
      <c r="J9" s="12"/>
      <c r="K9" s="12"/>
      <c r="L9" s="157"/>
      <c r="P9" s="239" t="s">
        <v>184</v>
      </c>
      <c r="Q9" s="239">
        <f>D11</f>
        <v>0</v>
      </c>
      <c r="R9" s="239" t="s">
        <v>185</v>
      </c>
      <c r="S9" s="249">
        <f>D10*AD9*AE9^(D11+D16)</f>
        <v>25524.231181726413</v>
      </c>
      <c r="T9" s="239" t="s">
        <v>96</v>
      </c>
      <c r="U9" s="239">
        <f>AE25</f>
        <v>416853</v>
      </c>
      <c r="V9" s="239" t="s">
        <v>185</v>
      </c>
      <c r="W9" s="249">
        <f>D27*AD8*AE8^(D26+D29)</f>
        <v>150430.62852438679</v>
      </c>
      <c r="X9" s="239" t="s">
        <v>82</v>
      </c>
      <c r="Y9" s="250">
        <v>5.5E-2</v>
      </c>
      <c r="AC9" s="239">
        <f>AA25</f>
        <v>5</v>
      </c>
      <c r="AD9" s="239">
        <f>VLOOKUP($AC$9,'tillage data'!$N$4:$R$17,2)</f>
        <v>0.67</v>
      </c>
      <c r="AE9" s="239">
        <f>VLOOKUP($AC$9,'tillage data'!$N$4:$R$17,3)</f>
        <v>0.92</v>
      </c>
      <c r="AF9" s="239">
        <f>VLOOKUP($AC$9,'tillage data'!$N$4:$R$17,4)</f>
        <v>0.26500000000000001</v>
      </c>
      <c r="AG9" s="239">
        <f>VLOOKUP($AC$9,'tillage data'!$N$4:$R$17,5)</f>
        <v>1.4</v>
      </c>
      <c r="AH9" s="239"/>
      <c r="AL9"/>
      <c r="AT9" s="239"/>
      <c r="AU9" s="239"/>
      <c r="AV9" s="239"/>
      <c r="AW9" s="239"/>
    </row>
    <row r="10" spans="2:49">
      <c r="B10" s="11"/>
      <c r="C10" s="12" t="s">
        <v>183</v>
      </c>
      <c r="D10" s="154">
        <v>87700</v>
      </c>
      <c r="E10" s="12"/>
      <c r="F10" s="151"/>
      <c r="G10" s="12"/>
      <c r="H10" s="12" t="s">
        <v>80</v>
      </c>
      <c r="I10" s="154">
        <f>S8</f>
        <v>74545</v>
      </c>
      <c r="J10" s="12"/>
      <c r="K10" s="12"/>
      <c r="L10" s="13"/>
      <c r="P10" s="239" t="s">
        <v>450</v>
      </c>
      <c r="Q10" s="239">
        <f>D12</f>
        <v>11</v>
      </c>
      <c r="R10" s="239" t="s">
        <v>213</v>
      </c>
      <c r="S10" s="239">
        <f>ROUND((S12-S11)/D16,0)</f>
        <v>70</v>
      </c>
      <c r="T10" s="239" t="s">
        <v>143</v>
      </c>
      <c r="U10" s="239">
        <f>AF25</f>
        <v>240</v>
      </c>
      <c r="V10" s="239" t="s">
        <v>213</v>
      </c>
      <c r="W10" s="239">
        <f>ROUND((W13-W12)/(D26+D29),0)</f>
        <v>2626</v>
      </c>
      <c r="X10" s="239" t="s">
        <v>84</v>
      </c>
      <c r="Y10" s="246">
        <v>0.01</v>
      </c>
      <c r="AH10" s="239"/>
      <c r="AL10"/>
      <c r="AT10" s="239"/>
      <c r="AU10" s="239"/>
      <c r="AV10" s="239"/>
      <c r="AW10" s="239"/>
    </row>
    <row r="11" spans="2:49">
      <c r="B11" s="11"/>
      <c r="C11" s="12" t="s">
        <v>184</v>
      </c>
      <c r="D11" s="153">
        <v>0</v>
      </c>
      <c r="E11" s="12" t="s">
        <v>193</v>
      </c>
      <c r="F11" s="151"/>
      <c r="G11" s="12"/>
      <c r="H11" s="12" t="s">
        <v>185</v>
      </c>
      <c r="I11" s="154">
        <f>S9</f>
        <v>25524.231181726413</v>
      </c>
      <c r="J11" s="12"/>
      <c r="K11" s="12"/>
      <c r="L11" s="13"/>
      <c r="P11" s="239" t="s">
        <v>451</v>
      </c>
      <c r="Q11" s="239">
        <f>D13</f>
        <v>16</v>
      </c>
      <c r="S11" s="254">
        <f>IF(D11=0,0,(D10*AF9*(D17*D11/1000)^AG9)/D11*D11)</f>
        <v>0</v>
      </c>
      <c r="T11" s="239" t="s">
        <v>186</v>
      </c>
      <c r="U11" s="239">
        <f>AG25</f>
        <v>10</v>
      </c>
      <c r="V11" s="239" t="s">
        <v>195</v>
      </c>
      <c r="W11" s="246">
        <f>ROUND(0.0438*D28,2)</f>
        <v>10.51</v>
      </c>
      <c r="AH11" s="239"/>
      <c r="AL11"/>
      <c r="AT11" s="239"/>
      <c r="AU11" s="239"/>
      <c r="AV11" s="239"/>
      <c r="AW11" s="239"/>
    </row>
    <row r="12" spans="2:49">
      <c r="B12" s="11"/>
      <c r="C12" s="253" t="s">
        <v>450</v>
      </c>
      <c r="D12" s="153">
        <v>11</v>
      </c>
      <c r="E12" s="253" t="s">
        <v>453</v>
      </c>
      <c r="F12" s="152"/>
      <c r="G12" s="15"/>
      <c r="H12" s="15" t="s">
        <v>213</v>
      </c>
      <c r="I12" s="177">
        <f>S10</f>
        <v>70</v>
      </c>
      <c r="J12" s="15"/>
      <c r="K12" s="15"/>
      <c r="L12" s="16"/>
      <c r="P12" s="239" t="s">
        <v>455</v>
      </c>
      <c r="Q12" s="239">
        <f>U29*0.5</f>
        <v>700</v>
      </c>
      <c r="S12" s="254">
        <f>(D10*AF8*(D19*(D11+D16)/1000)^AG8)/(D11+D16)*(D11+D16)</f>
        <v>702.85410999999999</v>
      </c>
      <c r="T12" s="239" t="s">
        <v>97</v>
      </c>
      <c r="U12" s="246">
        <v>300</v>
      </c>
      <c r="W12" s="239">
        <f>IF(D26=0,0,(D27*AF8*(D30*D26/1000)^AG8)/D26*D26)</f>
        <v>0</v>
      </c>
      <c r="AH12" s="239"/>
      <c r="AL12"/>
      <c r="AT12" s="239"/>
      <c r="AU12" s="239"/>
      <c r="AV12" s="239"/>
      <c r="AW12" s="239"/>
    </row>
    <row r="13" spans="2:49">
      <c r="B13" s="11"/>
      <c r="C13" s="253" t="s">
        <v>452</v>
      </c>
      <c r="D13" s="153">
        <v>16</v>
      </c>
      <c r="E13" s="253" t="s">
        <v>453</v>
      </c>
      <c r="F13" s="75"/>
      <c r="G13" s="76"/>
      <c r="H13" s="76"/>
      <c r="I13" s="76"/>
      <c r="J13" s="76"/>
      <c r="K13" s="76"/>
      <c r="L13" s="78"/>
      <c r="P13" s="239" t="s">
        <v>456</v>
      </c>
      <c r="Q13" s="239">
        <f>U29*0.5</f>
        <v>700</v>
      </c>
      <c r="T13" s="239" t="s">
        <v>93</v>
      </c>
      <c r="U13" s="246">
        <v>3.5</v>
      </c>
      <c r="W13" s="249">
        <f>(D27*AF8*(D30*(D26+D29)/1000)^AG8)/(D26+D29)*(D26+D29)</f>
        <v>26261.739000000001</v>
      </c>
      <c r="X13" s="249"/>
      <c r="AH13" s="239"/>
      <c r="AL13"/>
      <c r="AT13" s="239"/>
      <c r="AU13" s="239"/>
      <c r="AV13" s="239"/>
      <c r="AW13" s="239"/>
    </row>
    <row r="14" spans="2:49" ht="13">
      <c r="B14" s="11"/>
      <c r="C14" s="253" t="s">
        <v>455</v>
      </c>
      <c r="D14" s="153">
        <v>700</v>
      </c>
      <c r="E14" s="253" t="s">
        <v>453</v>
      </c>
      <c r="F14" s="75"/>
      <c r="G14" s="68" t="s">
        <v>194</v>
      </c>
      <c r="H14" s="76"/>
      <c r="I14" s="76"/>
      <c r="J14" s="76"/>
      <c r="K14" s="76"/>
      <c r="L14" s="78"/>
      <c r="P14" s="239" t="s">
        <v>186</v>
      </c>
      <c r="Q14" s="239">
        <f>D16</f>
        <v>10</v>
      </c>
      <c r="T14" s="239" t="s">
        <v>86</v>
      </c>
      <c r="U14" s="246">
        <v>0.1</v>
      </c>
      <c r="AH14" s="239"/>
      <c r="AK14"/>
      <c r="AT14" s="239"/>
      <c r="AU14" s="239"/>
      <c r="AV14" s="239"/>
    </row>
    <row r="15" spans="2:49">
      <c r="B15" s="11"/>
      <c r="C15" s="253" t="s">
        <v>456</v>
      </c>
      <c r="D15" s="153">
        <v>700</v>
      </c>
      <c r="E15" s="253" t="s">
        <v>453</v>
      </c>
      <c r="F15" s="75"/>
      <c r="G15" s="76"/>
      <c r="H15" s="76"/>
      <c r="I15" s="77" t="s">
        <v>103</v>
      </c>
      <c r="J15" s="77" t="s">
        <v>103</v>
      </c>
      <c r="K15" s="77" t="s">
        <v>103</v>
      </c>
      <c r="L15" s="78"/>
      <c r="T15" s="239" t="s">
        <v>89</v>
      </c>
      <c r="U15" s="246">
        <v>21</v>
      </c>
      <c r="AH15" s="239"/>
      <c r="AK15"/>
      <c r="AT15" s="239"/>
      <c r="AU15" s="239"/>
      <c r="AV15" s="239"/>
    </row>
    <row r="16" spans="2:49">
      <c r="B16" s="11"/>
      <c r="C16" s="253" t="s">
        <v>186</v>
      </c>
      <c r="D16" s="153">
        <v>10</v>
      </c>
      <c r="E16" s="253" t="s">
        <v>193</v>
      </c>
      <c r="F16" s="75"/>
      <c r="G16" s="79" t="s">
        <v>108</v>
      </c>
      <c r="H16" s="79"/>
      <c r="I16" s="80" t="s">
        <v>104</v>
      </c>
      <c r="J16" s="80" t="s">
        <v>106</v>
      </c>
      <c r="K16" s="80" t="s">
        <v>135</v>
      </c>
      <c r="L16" s="78"/>
      <c r="T16" s="239" t="s">
        <v>91</v>
      </c>
      <c r="U16" s="246">
        <v>1.1000000000000001</v>
      </c>
      <c r="AH16" s="239"/>
      <c r="AK16"/>
      <c r="AT16" s="239"/>
      <c r="AU16" s="239"/>
      <c r="AV16" s="239"/>
    </row>
    <row r="17" spans="2:51">
      <c r="B17" s="11"/>
      <c r="C17" s="253"/>
      <c r="D17" s="253"/>
      <c r="E17" s="253"/>
      <c r="F17" s="75"/>
      <c r="G17" s="76"/>
      <c r="H17" s="60" t="s">
        <v>98</v>
      </c>
      <c r="I17" s="86">
        <f>ROUND((I10-I11)/D16,0)</f>
        <v>4902</v>
      </c>
      <c r="J17" s="87">
        <f>ROUND(I17/$D$19,2)</f>
        <v>45.81</v>
      </c>
      <c r="K17" s="87">
        <f>ROUND(I17/($D$14+$D$15),2)</f>
        <v>3.5</v>
      </c>
      <c r="L17" s="78"/>
      <c r="S17" s="248"/>
    </row>
    <row r="18" spans="2:51">
      <c r="B18" s="11"/>
      <c r="C18" s="253"/>
      <c r="D18" s="253"/>
      <c r="E18" s="253"/>
      <c r="F18" s="75"/>
      <c r="G18" s="76"/>
      <c r="H18" s="60" t="s">
        <v>99</v>
      </c>
      <c r="I18" s="81">
        <f>AN26</f>
        <v>2371.7133562563099</v>
      </c>
      <c r="J18" s="89">
        <f>ROUND(I18/$D$19,2)</f>
        <v>22.17</v>
      </c>
      <c r="K18" s="89">
        <f>ROUND(I18/($D$14+$D$15),2)</f>
        <v>1.69</v>
      </c>
      <c r="L18" s="78"/>
      <c r="S18" s="248"/>
      <c r="W18" s="248"/>
      <c r="X18" s="248"/>
    </row>
    <row r="19" spans="2:51">
      <c r="B19" s="11"/>
      <c r="C19" s="253" t="s">
        <v>97</v>
      </c>
      <c r="D19" s="255">
        <f>ROUND((D14/D12)+(D15/D13),0)</f>
        <v>107</v>
      </c>
      <c r="E19" s="253" t="s">
        <v>454</v>
      </c>
      <c r="F19" s="75"/>
      <c r="G19" s="76"/>
      <c r="H19" s="60" t="s">
        <v>84</v>
      </c>
      <c r="I19" s="251">
        <f>AQ26</f>
        <v>431.22061022842007</v>
      </c>
      <c r="J19" s="89">
        <f>ROUND(I19/$D$19,2)</f>
        <v>4.03</v>
      </c>
      <c r="K19" s="89">
        <f>ROUND(I19/($D$14+$D$15),2)</f>
        <v>0.31</v>
      </c>
      <c r="L19" s="78"/>
    </row>
    <row r="20" spans="2:51" ht="12.75" customHeight="1">
      <c r="B20" s="11"/>
      <c r="C20" s="12" t="s">
        <v>131</v>
      </c>
      <c r="D20" s="12">
        <f>AC23</f>
        <v>240</v>
      </c>
      <c r="E20" s="12" t="s">
        <v>134</v>
      </c>
      <c r="F20" s="75"/>
      <c r="G20" s="76"/>
      <c r="H20" s="60" t="s">
        <v>100</v>
      </c>
      <c r="I20" s="88">
        <f>I12</f>
        <v>70</v>
      </c>
      <c r="J20" s="90">
        <f>ROUND(I20/$D$19,2)</f>
        <v>0.65</v>
      </c>
      <c r="K20" s="90">
        <f>ROUND(I20/($D$14+$D$15),2)</f>
        <v>0.05</v>
      </c>
      <c r="L20" s="78"/>
      <c r="AH20" s="175"/>
    </row>
    <row r="21" spans="2:51" ht="12.75" customHeight="1">
      <c r="B21" s="11"/>
      <c r="C21" s="12"/>
      <c r="D21" s="12"/>
      <c r="E21" s="12"/>
      <c r="F21" s="75"/>
      <c r="G21" s="68" t="s">
        <v>107</v>
      </c>
      <c r="H21" s="76"/>
      <c r="I21" s="86">
        <f>SUM(I17:I20)</f>
        <v>7774.9339664847303</v>
      </c>
      <c r="J21" s="87">
        <f>SUM(J17:J20)</f>
        <v>72.660000000000011</v>
      </c>
      <c r="K21" s="87">
        <f>SUM(K17:K20)</f>
        <v>5.5499999999999989</v>
      </c>
      <c r="L21" s="78"/>
      <c r="AH21" s="231"/>
    </row>
    <row r="22" spans="2:51">
      <c r="B22" s="14"/>
      <c r="C22" s="15"/>
      <c r="D22" s="15"/>
      <c r="E22" s="15"/>
      <c r="F22" s="84"/>
      <c r="G22" s="79"/>
      <c r="H22" s="79"/>
      <c r="I22" s="79"/>
      <c r="J22" s="79"/>
      <c r="K22" s="79"/>
      <c r="L22" s="85"/>
      <c r="AH22" s="231"/>
      <c r="AN22" s="239">
        <v>10</v>
      </c>
    </row>
    <row r="23" spans="2:51" ht="13">
      <c r="B23" s="8"/>
      <c r="C23" s="107" t="s">
        <v>226</v>
      </c>
      <c r="D23" s="12"/>
      <c r="E23" s="12"/>
      <c r="F23" s="162"/>
      <c r="G23" s="107" t="s">
        <v>197</v>
      </c>
      <c r="H23" s="12"/>
      <c r="I23" s="12"/>
      <c r="J23" s="12"/>
      <c r="K23" s="12"/>
      <c r="L23" s="10"/>
      <c r="AC23" s="239">
        <f>VLOOKUP(Z25,AC29:AF45,4)</f>
        <v>240</v>
      </c>
      <c r="AH23" s="231"/>
    </row>
    <row r="24" spans="2:51" ht="12.75" customHeight="1">
      <c r="B24" s="11"/>
      <c r="C24" s="12"/>
      <c r="D24" s="12"/>
      <c r="E24" s="12"/>
      <c r="F24" s="151"/>
      <c r="G24" s="12"/>
      <c r="H24" s="12" t="s">
        <v>80</v>
      </c>
      <c r="I24" s="154">
        <f>W8</f>
        <v>354325</v>
      </c>
      <c r="J24" s="12"/>
      <c r="K24" s="12"/>
      <c r="L24" s="13"/>
      <c r="Q24" s="239">
        <v>3</v>
      </c>
      <c r="R24" s="239">
        <v>4</v>
      </c>
      <c r="S24" s="239">
        <v>5</v>
      </c>
      <c r="T24" s="239">
        <v>6</v>
      </c>
      <c r="U24" s="239">
        <v>7</v>
      </c>
      <c r="V24" s="239">
        <v>8</v>
      </c>
      <c r="W24" s="239">
        <v>9</v>
      </c>
      <c r="X24" s="239">
        <v>10</v>
      </c>
      <c r="Y24" s="239">
        <v>11</v>
      </c>
      <c r="Z24" s="239">
        <v>12</v>
      </c>
      <c r="AA24" s="239">
        <v>13</v>
      </c>
      <c r="AE24" s="239">
        <v>2</v>
      </c>
      <c r="AF24" s="239">
        <v>3</v>
      </c>
      <c r="AG24" s="239">
        <v>4</v>
      </c>
      <c r="AH24" s="175"/>
      <c r="AN24" s="239" cm="1">
        <f t="array" ref="AN24">intchg(D10,D40,D41,Y25,AA25)</f>
        <v>2371.7135634581509</v>
      </c>
      <c r="AQ24" s="239" cm="1">
        <f t="array" ref="AQ24">intchg(D10,D40,D42,Y25,AA25)</f>
        <v>431.22064790148204</v>
      </c>
    </row>
    <row r="25" spans="2:51" ht="12.75" customHeight="1">
      <c r="B25" s="11"/>
      <c r="C25" s="12" t="s">
        <v>95</v>
      </c>
      <c r="D25" s="284" t="s">
        <v>471</v>
      </c>
      <c r="E25" s="285"/>
      <c r="F25" s="151"/>
      <c r="G25" s="12"/>
      <c r="H25" s="12" t="s">
        <v>185</v>
      </c>
      <c r="I25" s="154">
        <f>W9</f>
        <v>150430.62852438679</v>
      </c>
      <c r="J25" s="12"/>
      <c r="K25" s="12"/>
      <c r="L25" s="13"/>
      <c r="O25" s="240" t="s">
        <v>470</v>
      </c>
      <c r="Q25" s="239">
        <f t="shared" ref="Q25:W25" si="0">VLOOKUP($D$8,$O$28:$AA$145,Q$24,FALSE)</f>
        <v>1000</v>
      </c>
      <c r="R25" s="239">
        <f t="shared" si="0"/>
        <v>87700</v>
      </c>
      <c r="S25" s="239">
        <f t="shared" si="0"/>
        <v>11</v>
      </c>
      <c r="T25" s="239">
        <f t="shared" si="0"/>
        <v>16</v>
      </c>
      <c r="U25" s="239">
        <f t="shared" si="0"/>
        <v>1900</v>
      </c>
      <c r="V25" s="239">
        <f t="shared" si="0"/>
        <v>0.9</v>
      </c>
      <c r="W25" s="239">
        <f t="shared" si="0"/>
        <v>0.5</v>
      </c>
      <c r="X25" s="239">
        <f>VLOOKUP($D$8,$O$28:$AA$145,X$24,FALSE)</f>
        <v>250</v>
      </c>
      <c r="Y25" s="239">
        <f>VLOOKUP($D$8,$O$28:$AA$145,Y$24,FALSE)</f>
        <v>10</v>
      </c>
      <c r="Z25" s="239">
        <f>VLOOKUP($D$8,$O$28:$AA$145,Z$24,FALSE)</f>
        <v>10</v>
      </c>
      <c r="AA25" s="239">
        <f>VLOOKUP($D$8,$O$28:$AA$145,AA$24,FALSE)</f>
        <v>5</v>
      </c>
      <c r="AD25" s="240" t="s">
        <v>471</v>
      </c>
      <c r="AE25" s="239">
        <f>VLOOKUP($D$25,$AD$29:$AG$46,AE24,FALSE)</f>
        <v>416853</v>
      </c>
      <c r="AF25" s="239">
        <f>VLOOKUP($D$25,$AD$29:$AG$46,AF24,FALSE)</f>
        <v>240</v>
      </c>
      <c r="AG25" s="239">
        <f>VLOOKUP($D$25,$AD$29:$AG$46,AG24,FALSE)</f>
        <v>10</v>
      </c>
      <c r="AH25" s="175"/>
    </row>
    <row r="26" spans="2:51" ht="12.75" customHeight="1">
      <c r="B26" s="11"/>
      <c r="C26" s="12" t="s">
        <v>184</v>
      </c>
      <c r="D26" s="153">
        <v>0</v>
      </c>
      <c r="E26" s="12" t="s">
        <v>193</v>
      </c>
      <c r="F26" s="151"/>
      <c r="G26" s="12"/>
      <c r="H26" s="12" t="s">
        <v>213</v>
      </c>
      <c r="I26" s="154">
        <f>W10</f>
        <v>2626</v>
      </c>
      <c r="J26" s="12"/>
      <c r="K26" s="12"/>
      <c r="L26" s="13"/>
      <c r="AE26" s="241"/>
      <c r="AF26" s="241"/>
      <c r="AG26" s="241" t="s">
        <v>77</v>
      </c>
      <c r="AH26" s="175"/>
      <c r="AL26" s="248"/>
      <c r="AN26" s="249">
        <f>VLOOKUP($D$16-1,$AK$29:$AQ$79,4,FALSE)</f>
        <v>2371.7133562563099</v>
      </c>
      <c r="AQ26" s="249">
        <f>VLOOKUP($D$16-1,$AK$29:$AQ$79,7,FALSE)</f>
        <v>431.22061022842007</v>
      </c>
      <c r="AT26" s="239"/>
      <c r="AU26" s="239"/>
      <c r="AV26" s="249">
        <f>VLOOKUP($D$29-1,$AS$29:$AY$79,4,FALSE)</f>
        <v>12224.931938597874</v>
      </c>
      <c r="AW26" s="239"/>
      <c r="AX26" s="239"/>
      <c r="AY26" s="249">
        <f>VLOOKUP($D$29-1,$AS$29:$AY$79,7,FALSE)</f>
        <v>2222.7148979268859</v>
      </c>
    </row>
    <row r="27" spans="2:51" ht="12.75" customHeight="1">
      <c r="B27" s="11"/>
      <c r="C27" s="12" t="s">
        <v>96</v>
      </c>
      <c r="D27" s="154">
        <v>416853</v>
      </c>
      <c r="E27" s="12" t="s">
        <v>132</v>
      </c>
      <c r="F27" s="152"/>
      <c r="G27" s="170"/>
      <c r="H27" s="15" t="s">
        <v>195</v>
      </c>
      <c r="I27" s="171">
        <f>W11</f>
        <v>10.51</v>
      </c>
      <c r="J27" s="15"/>
      <c r="K27" s="15"/>
      <c r="L27" s="13"/>
      <c r="R27" s="241" t="s">
        <v>74</v>
      </c>
      <c r="S27" s="286" t="s">
        <v>443</v>
      </c>
      <c r="T27" s="286"/>
      <c r="U27" s="241" t="s">
        <v>107</v>
      </c>
      <c r="V27" s="286" t="s">
        <v>444</v>
      </c>
      <c r="W27" s="286"/>
      <c r="X27" s="252" t="s">
        <v>445</v>
      </c>
      <c r="Y27" s="241"/>
      <c r="Z27" s="241" t="s">
        <v>94</v>
      </c>
      <c r="AA27" s="241" t="s">
        <v>120</v>
      </c>
      <c r="AB27" s="239" t="s">
        <v>314</v>
      </c>
      <c r="AE27" s="241" t="s">
        <v>74</v>
      </c>
      <c r="AF27" s="241"/>
      <c r="AG27" s="241" t="s">
        <v>78</v>
      </c>
      <c r="AH27" s="175"/>
      <c r="AT27" s="239"/>
      <c r="AU27" s="239"/>
      <c r="AV27" s="239"/>
      <c r="AW27" s="239"/>
      <c r="AX27" s="239"/>
      <c r="AY27" s="239"/>
    </row>
    <row r="28" spans="2:51" ht="12.75" customHeight="1">
      <c r="B28" s="11"/>
      <c r="C28" s="12" t="s">
        <v>143</v>
      </c>
      <c r="D28" s="153">
        <v>240</v>
      </c>
      <c r="E28" s="12" t="s">
        <v>198</v>
      </c>
      <c r="F28" s="75"/>
      <c r="G28" s="165" t="s">
        <v>109</v>
      </c>
      <c r="H28" s="166"/>
      <c r="I28" s="166"/>
      <c r="J28" s="166"/>
      <c r="K28" s="76"/>
      <c r="L28" s="74"/>
      <c r="P28" s="239" t="s">
        <v>110</v>
      </c>
      <c r="Q28" s="239" t="s">
        <v>146</v>
      </c>
      <c r="R28" s="241" t="s">
        <v>121</v>
      </c>
      <c r="S28" s="241" t="s">
        <v>61</v>
      </c>
      <c r="T28" s="241" t="s">
        <v>58</v>
      </c>
      <c r="U28" s="241" t="s">
        <v>30</v>
      </c>
      <c r="V28" s="241" t="s">
        <v>61</v>
      </c>
      <c r="W28" s="241" t="s">
        <v>58</v>
      </c>
      <c r="X28" s="241" t="s">
        <v>446</v>
      </c>
      <c r="Y28" s="241" t="s">
        <v>128</v>
      </c>
      <c r="Z28" s="241" t="s">
        <v>129</v>
      </c>
      <c r="AA28" s="241" t="s">
        <v>129</v>
      </c>
      <c r="AB28" s="239" t="s">
        <v>315</v>
      </c>
      <c r="AD28" s="239" t="s">
        <v>73</v>
      </c>
      <c r="AE28" s="241" t="s">
        <v>75</v>
      </c>
      <c r="AF28" s="241" t="s">
        <v>76</v>
      </c>
      <c r="AG28" s="241" t="s">
        <v>79</v>
      </c>
      <c r="AH28" s="175"/>
      <c r="AL28" s="286" t="s">
        <v>440</v>
      </c>
      <c r="AM28" s="286"/>
      <c r="AN28" s="286"/>
      <c r="AO28" s="286" t="s">
        <v>441</v>
      </c>
      <c r="AP28" s="286"/>
      <c r="AQ28" s="286"/>
      <c r="AT28" s="286" t="s">
        <v>427</v>
      </c>
      <c r="AU28" s="286"/>
      <c r="AV28" s="286"/>
      <c r="AW28" s="286" t="s">
        <v>428</v>
      </c>
      <c r="AX28" s="286"/>
      <c r="AY28" s="286"/>
    </row>
    <row r="29" spans="2:51" ht="12.75" customHeight="1">
      <c r="B29" s="11"/>
      <c r="C29" s="12" t="s">
        <v>186</v>
      </c>
      <c r="D29" s="153">
        <v>10</v>
      </c>
      <c r="E29" s="12" t="s">
        <v>193</v>
      </c>
      <c r="F29" s="75"/>
      <c r="G29" s="60"/>
      <c r="H29" s="60"/>
      <c r="I29" s="61" t="s">
        <v>103</v>
      </c>
      <c r="J29" s="61" t="s">
        <v>105</v>
      </c>
      <c r="K29" s="76"/>
      <c r="L29" s="78"/>
      <c r="O29" s="239" t="str">
        <f>_xlfn.CONCAT(Q29," bu ",P29)</f>
        <v>875 bu Grain Cart</v>
      </c>
      <c r="P29" s="239" t="s">
        <v>442</v>
      </c>
      <c r="Q29" s="239">
        <v>875</v>
      </c>
      <c r="R29" s="239">
        <v>73200</v>
      </c>
      <c r="S29" s="246">
        <v>11</v>
      </c>
      <c r="T29" s="246">
        <v>16</v>
      </c>
      <c r="U29" s="239">
        <v>1400</v>
      </c>
      <c r="V29" s="246">
        <v>0.9</v>
      </c>
      <c r="W29" s="246">
        <v>0.5</v>
      </c>
      <c r="X29" s="246">
        <v>250</v>
      </c>
      <c r="Y29" s="239">
        <v>10</v>
      </c>
      <c r="Z29" s="239">
        <v>6</v>
      </c>
      <c r="AA29" s="239">
        <v>5</v>
      </c>
      <c r="AB29" s="239">
        <v>155</v>
      </c>
      <c r="AC29" s="239">
        <v>1</v>
      </c>
      <c r="AD29" s="243" t="str">
        <f>CONCATENATE(AF29," PTO Hp Tractor")</f>
        <v>85 PTO Hp Tractor</v>
      </c>
      <c r="AE29" s="244">
        <v>196739</v>
      </c>
      <c r="AF29" s="244">
        <v>85</v>
      </c>
      <c r="AG29" s="244">
        <v>10</v>
      </c>
      <c r="AH29" s="239">
        <v>1</v>
      </c>
      <c r="AJ29" s="239">
        <f>D10*D40</f>
        <v>74545</v>
      </c>
      <c r="AK29" s="239">
        <v>0</v>
      </c>
      <c r="AL29" s="249">
        <f>D10*D40*D41</f>
        <v>4099.9750000000004</v>
      </c>
      <c r="AM29" s="249">
        <f>AL29</f>
        <v>4099.9750000000004</v>
      </c>
      <c r="AN29" s="249">
        <f>AM29/$D$16</f>
        <v>409.99750000000006</v>
      </c>
      <c r="AO29" s="249">
        <f>D10*D40*D42</f>
        <v>745.45</v>
      </c>
      <c r="AP29" s="249">
        <f>AO29</f>
        <v>745.45</v>
      </c>
      <c r="AQ29" s="249">
        <f>AP29/$D$16</f>
        <v>74.545000000000002</v>
      </c>
      <c r="AS29" s="239">
        <v>0</v>
      </c>
      <c r="AT29" s="249">
        <f>D27*D40*D41</f>
        <v>19487.87775</v>
      </c>
      <c r="AU29" s="249">
        <f>AT29</f>
        <v>19487.87775</v>
      </c>
      <c r="AV29" s="249">
        <f>AU29/$D$29</f>
        <v>1948.787775</v>
      </c>
      <c r="AW29" s="249">
        <f>D27*D40*D42</f>
        <v>3543.2505000000001</v>
      </c>
      <c r="AX29" s="249">
        <f>AW29</f>
        <v>3543.2505000000001</v>
      </c>
      <c r="AY29" s="249">
        <f>AX29/$D$29</f>
        <v>354.32505000000003</v>
      </c>
    </row>
    <row r="30" spans="2:51">
      <c r="B30" s="11"/>
      <c r="C30" s="12" t="s">
        <v>97</v>
      </c>
      <c r="D30" s="153">
        <v>300</v>
      </c>
      <c r="E30" s="12" t="s">
        <v>88</v>
      </c>
      <c r="F30" s="75"/>
      <c r="G30" s="62" t="s">
        <v>108</v>
      </c>
      <c r="H30" s="62"/>
      <c r="I30" s="63" t="s">
        <v>104</v>
      </c>
      <c r="J30" s="63" t="s">
        <v>106</v>
      </c>
      <c r="K30" s="76"/>
      <c r="L30" s="78"/>
      <c r="O30" s="239" t="str">
        <f>_xlfn.CONCAT(Q30," bu ",P30)</f>
        <v>1000 bu Grain Cart</v>
      </c>
      <c r="P30" s="239" t="s">
        <v>442</v>
      </c>
      <c r="Q30" s="239">
        <v>1000</v>
      </c>
      <c r="R30" s="239">
        <v>87700</v>
      </c>
      <c r="S30" s="246">
        <v>11</v>
      </c>
      <c r="T30" s="246">
        <v>16</v>
      </c>
      <c r="U30" s="239">
        <v>1900</v>
      </c>
      <c r="V30" s="246">
        <v>0.9</v>
      </c>
      <c r="W30" s="246">
        <v>0.5</v>
      </c>
      <c r="X30" s="246">
        <v>250</v>
      </c>
      <c r="Y30" s="239">
        <v>10</v>
      </c>
      <c r="Z30" s="239">
        <v>10</v>
      </c>
      <c r="AA30" s="239">
        <v>5</v>
      </c>
      <c r="AB30" s="239">
        <v>240</v>
      </c>
      <c r="AC30" s="239">
        <v>2</v>
      </c>
      <c r="AD30" s="243" t="str">
        <f t="shared" ref="AD30:AD46" si="1">CONCATENATE(AF30," PTO Hp Tractor")</f>
        <v>95 PTO Hp Tractor</v>
      </c>
      <c r="AE30" s="244">
        <v>205451</v>
      </c>
      <c r="AF30" s="244">
        <v>95</v>
      </c>
      <c r="AG30" s="244">
        <v>10</v>
      </c>
      <c r="AH30" s="239">
        <v>2</v>
      </c>
      <c r="AJ30" s="239">
        <f>$D$10*$AD$9*$AE$9^($D$11+AK30)</f>
        <v>54058.28</v>
      </c>
      <c r="AK30" s="239">
        <v>1</v>
      </c>
      <c r="AL30" s="249">
        <f t="shared" ref="AL30:AL61" si="2">$D$10*$AD$9*$AE$9^($D$11+AK30)*$D$41</f>
        <v>2973.2053999999998</v>
      </c>
      <c r="AM30" s="249">
        <f>AM29+AL30</f>
        <v>7073.1804000000002</v>
      </c>
      <c r="AN30" s="249">
        <f t="shared" ref="AN30:AN79" si="3">AM30/$D$16</f>
        <v>707.31804</v>
      </c>
      <c r="AO30" s="249">
        <f t="shared" ref="AO30:AO61" si="4">$D$10*$AD$9*$AE$9^($D$11+AK30)*$D$42</f>
        <v>540.58280000000002</v>
      </c>
      <c r="AP30" s="249">
        <f>AP29+AO30</f>
        <v>1286.0328</v>
      </c>
      <c r="AQ30" s="249">
        <f t="shared" ref="AQ30:AQ79" si="5">AP30/$D$16</f>
        <v>128.60327999999998</v>
      </c>
      <c r="AS30" s="239">
        <v>1</v>
      </c>
      <c r="AT30" s="249">
        <f t="shared" ref="AT30:AT61" si="6">$D$27*$AD$8*$AE$8^($D$26+AS30)*$D$41</f>
        <v>14439.371067</v>
      </c>
      <c r="AU30" s="249">
        <f>AU29+AT30</f>
        <v>33927.248817</v>
      </c>
      <c r="AV30" s="249">
        <f t="shared" ref="AV30:AV79" si="7">AU30/$D$29</f>
        <v>3392.7248817</v>
      </c>
      <c r="AW30" s="249">
        <f t="shared" ref="AW30:AW61" si="8">$D$27*$AD$8*$AE$8^($D$26+AS30)*$D$42</f>
        <v>2625.3401939999999</v>
      </c>
      <c r="AX30" s="249">
        <f>AX29+AW30</f>
        <v>6168.5906940000004</v>
      </c>
      <c r="AY30" s="249">
        <f t="shared" ref="AY30:AY79" si="9">AX30/$D$29</f>
        <v>616.85906940000007</v>
      </c>
    </row>
    <row r="31" spans="2:51">
      <c r="B31" s="11"/>
      <c r="C31" s="12" t="s">
        <v>93</v>
      </c>
      <c r="D31" s="163">
        <v>3.5</v>
      </c>
      <c r="E31" s="12" t="s">
        <v>189</v>
      </c>
      <c r="F31" s="75"/>
      <c r="G31" s="60"/>
      <c r="H31" s="60" t="s">
        <v>98</v>
      </c>
      <c r="I31" s="64">
        <f>IF(D29=0,0,ROUND((I24-I25)/D29,0))</f>
        <v>20389</v>
      </c>
      <c r="J31" s="65">
        <f t="shared" ref="J31:J36" si="10">ROUND(I31/$D$30,2)</f>
        <v>67.959999999999994</v>
      </c>
      <c r="K31" s="76"/>
      <c r="L31" s="78"/>
      <c r="O31" s="239" t="str">
        <f>_xlfn.CONCAT(Q31," bu ",P31)</f>
        <v>1325 bu Grain Cart</v>
      </c>
      <c r="P31" s="239" t="s">
        <v>442</v>
      </c>
      <c r="Q31" s="239">
        <v>1325</v>
      </c>
      <c r="R31" s="239">
        <v>124975</v>
      </c>
      <c r="S31" s="246">
        <v>16</v>
      </c>
      <c r="T31" s="246">
        <v>19</v>
      </c>
      <c r="U31" s="239">
        <v>2400</v>
      </c>
      <c r="V31" s="246">
        <v>0.9</v>
      </c>
      <c r="W31" s="246">
        <v>0.5</v>
      </c>
      <c r="X31" s="246">
        <v>250</v>
      </c>
      <c r="Y31" s="239">
        <v>10</v>
      </c>
      <c r="Z31" s="239">
        <v>15</v>
      </c>
      <c r="AA31" s="239">
        <v>5</v>
      </c>
      <c r="AB31" s="239">
        <v>440</v>
      </c>
      <c r="AC31" s="239">
        <v>3</v>
      </c>
      <c r="AD31" s="243" t="str">
        <f t="shared" si="1"/>
        <v>110 PTO Hp Tractor</v>
      </c>
      <c r="AE31" s="244">
        <v>250231</v>
      </c>
      <c r="AF31" s="244">
        <v>110</v>
      </c>
      <c r="AG31" s="244">
        <v>10</v>
      </c>
      <c r="AH31" s="239">
        <v>3</v>
      </c>
      <c r="AJ31" s="239">
        <f t="shared" ref="AJ31:AJ79" si="11">$D$10*$AD$9*$AE$9^($D$11+AK31)</f>
        <v>49733.617600000005</v>
      </c>
      <c r="AK31" s="239">
        <v>2</v>
      </c>
      <c r="AL31" s="249">
        <f t="shared" si="2"/>
        <v>2735.3489680000002</v>
      </c>
      <c r="AM31" s="249">
        <f t="shared" ref="AM31:AM79" si="12">AM30+AL31</f>
        <v>9808.5293679999995</v>
      </c>
      <c r="AN31" s="249">
        <f t="shared" si="3"/>
        <v>980.85293679999995</v>
      </c>
      <c r="AO31" s="249">
        <f t="shared" si="4"/>
        <v>497.33617600000008</v>
      </c>
      <c r="AP31" s="249">
        <f t="shared" ref="AP31:AP79" si="13">AP30+AO31</f>
        <v>1783.368976</v>
      </c>
      <c r="AQ31" s="249">
        <f t="shared" si="5"/>
        <v>178.33689759999999</v>
      </c>
      <c r="AS31" s="239">
        <v>2</v>
      </c>
      <c r="AT31" s="249">
        <f t="shared" si="6"/>
        <v>13573.008802979999</v>
      </c>
      <c r="AU31" s="249">
        <f t="shared" ref="AU31:AU79" si="14">AU30+AT31</f>
        <v>47500.257619979995</v>
      </c>
      <c r="AV31" s="249">
        <f t="shared" si="7"/>
        <v>4750.0257619979993</v>
      </c>
      <c r="AW31" s="249">
        <f t="shared" si="8"/>
        <v>2467.8197823599999</v>
      </c>
      <c r="AX31" s="249">
        <f t="shared" ref="AX31:AX79" si="15">AX30+AW31</f>
        <v>8636.4104763600008</v>
      </c>
      <c r="AY31" s="249">
        <f t="shared" si="9"/>
        <v>863.64104763600005</v>
      </c>
    </row>
    <row r="32" spans="2:51">
      <c r="B32" s="11"/>
      <c r="C32" s="59" t="s">
        <v>86</v>
      </c>
      <c r="D32" s="164">
        <v>0.1</v>
      </c>
      <c r="E32" s="12" t="s">
        <v>190</v>
      </c>
      <c r="F32" s="75"/>
      <c r="G32" s="60"/>
      <c r="H32" s="60" t="s">
        <v>99</v>
      </c>
      <c r="I32" s="66">
        <f>AV26</f>
        <v>12224.931938597874</v>
      </c>
      <c r="J32" s="65">
        <f t="shared" si="10"/>
        <v>40.75</v>
      </c>
      <c r="K32" s="76"/>
      <c r="L32" s="78"/>
      <c r="AC32" s="239">
        <v>4</v>
      </c>
      <c r="AD32" s="243" t="str">
        <f t="shared" si="1"/>
        <v>120 PTO Hp Tractor</v>
      </c>
      <c r="AE32" s="244">
        <v>257854</v>
      </c>
      <c r="AF32" s="244">
        <v>120</v>
      </c>
      <c r="AG32" s="244">
        <v>10</v>
      </c>
      <c r="AH32" s="239">
        <v>4</v>
      </c>
      <c r="AJ32" s="239">
        <f t="shared" si="11"/>
        <v>45754.928191999999</v>
      </c>
      <c r="AK32" s="239">
        <v>3</v>
      </c>
      <c r="AL32" s="249">
        <f t="shared" si="2"/>
        <v>2516.5210505599998</v>
      </c>
      <c r="AM32" s="249">
        <f t="shared" si="12"/>
        <v>12325.05041856</v>
      </c>
      <c r="AN32" s="249">
        <f t="shared" si="3"/>
        <v>1232.5050418559999</v>
      </c>
      <c r="AO32" s="249">
        <f t="shared" si="4"/>
        <v>457.54928192</v>
      </c>
      <c r="AP32" s="249">
        <f t="shared" si="13"/>
        <v>2240.9182579200001</v>
      </c>
      <c r="AQ32" s="249">
        <f t="shared" si="5"/>
        <v>224.09182579200001</v>
      </c>
      <c r="AS32" s="239">
        <v>3</v>
      </c>
      <c r="AT32" s="249">
        <f t="shared" si="6"/>
        <v>12758.628274801198</v>
      </c>
      <c r="AU32" s="249">
        <f t="shared" si="14"/>
        <v>60258.885894781197</v>
      </c>
      <c r="AV32" s="249">
        <f t="shared" si="7"/>
        <v>6025.8885894781197</v>
      </c>
      <c r="AW32" s="249">
        <f t="shared" si="8"/>
        <v>2319.7505954183998</v>
      </c>
      <c r="AX32" s="249">
        <f t="shared" si="15"/>
        <v>10956.161071778401</v>
      </c>
      <c r="AY32" s="249">
        <f t="shared" si="9"/>
        <v>1095.6161071778401</v>
      </c>
    </row>
    <row r="33" spans="2:51">
      <c r="B33" s="11"/>
      <c r="C33" s="57" t="s">
        <v>89</v>
      </c>
      <c r="D33" s="163">
        <v>21</v>
      </c>
      <c r="E33" s="12" t="s">
        <v>214</v>
      </c>
      <c r="F33" s="75"/>
      <c r="G33" s="60"/>
      <c r="H33" s="60" t="s">
        <v>84</v>
      </c>
      <c r="I33" s="66">
        <f>AY26</f>
        <v>2222.7148979268859</v>
      </c>
      <c r="J33" s="65">
        <f t="shared" si="10"/>
        <v>7.41</v>
      </c>
      <c r="K33" s="76"/>
      <c r="L33" s="78"/>
      <c r="AC33" s="239">
        <v>5</v>
      </c>
      <c r="AD33" s="243" t="str">
        <f t="shared" si="1"/>
        <v>140 PTO Hp Tractor</v>
      </c>
      <c r="AE33" s="244">
        <v>282644</v>
      </c>
      <c r="AF33" s="244">
        <v>140</v>
      </c>
      <c r="AG33" s="244">
        <v>10</v>
      </c>
      <c r="AH33" s="239">
        <v>5</v>
      </c>
      <c r="AJ33" s="239">
        <f t="shared" si="11"/>
        <v>42094.533936640008</v>
      </c>
      <c r="AK33" s="239">
        <v>4</v>
      </c>
      <c r="AL33" s="249">
        <f t="shared" si="2"/>
        <v>2315.1993665152004</v>
      </c>
      <c r="AM33" s="249">
        <f t="shared" si="12"/>
        <v>14640.249785075201</v>
      </c>
      <c r="AN33" s="249">
        <f t="shared" si="3"/>
        <v>1464.02497850752</v>
      </c>
      <c r="AO33" s="249">
        <f t="shared" si="4"/>
        <v>420.94533936640011</v>
      </c>
      <c r="AP33" s="249">
        <f t="shared" si="13"/>
        <v>2661.8635972864004</v>
      </c>
      <c r="AQ33" s="249">
        <f t="shared" si="5"/>
        <v>266.18635972864001</v>
      </c>
      <c r="AS33" s="239">
        <v>4</v>
      </c>
      <c r="AT33" s="249">
        <f t="shared" si="6"/>
        <v>11993.110578313126</v>
      </c>
      <c r="AU33" s="249">
        <f t="shared" si="14"/>
        <v>72251.996473094317</v>
      </c>
      <c r="AV33" s="249">
        <f t="shared" si="7"/>
        <v>7225.1996473094314</v>
      </c>
      <c r="AW33" s="249">
        <f t="shared" si="8"/>
        <v>2180.5655596932957</v>
      </c>
      <c r="AX33" s="249">
        <f t="shared" si="15"/>
        <v>13136.726631471696</v>
      </c>
      <c r="AY33" s="249">
        <f t="shared" si="9"/>
        <v>1313.6726631471697</v>
      </c>
    </row>
    <row r="34" spans="2:51">
      <c r="B34" s="11"/>
      <c r="C34" s="59" t="s">
        <v>91</v>
      </c>
      <c r="D34" s="164">
        <v>1.1000000000000001</v>
      </c>
      <c r="E34" s="12" t="s">
        <v>192</v>
      </c>
      <c r="F34" s="75"/>
      <c r="G34" s="60"/>
      <c r="H34" s="60" t="s">
        <v>100</v>
      </c>
      <c r="I34" s="66">
        <f>I26</f>
        <v>2626</v>
      </c>
      <c r="J34" s="65">
        <f t="shared" si="10"/>
        <v>8.75</v>
      </c>
      <c r="K34" s="76"/>
      <c r="L34" s="78"/>
      <c r="AC34" s="239">
        <v>6</v>
      </c>
      <c r="AD34" s="243" t="str">
        <f t="shared" si="1"/>
        <v>155 PTO Hp Tractor</v>
      </c>
      <c r="AE34" s="244">
        <v>297566</v>
      </c>
      <c r="AF34" s="244">
        <v>155</v>
      </c>
      <c r="AG34" s="244">
        <v>10</v>
      </c>
      <c r="AH34" s="239">
        <v>6</v>
      </c>
      <c r="AJ34" s="239">
        <f t="shared" si="11"/>
        <v>38726.971221708809</v>
      </c>
      <c r="AK34" s="239">
        <v>5</v>
      </c>
      <c r="AL34" s="249">
        <f t="shared" si="2"/>
        <v>2129.9834171939847</v>
      </c>
      <c r="AM34" s="249">
        <f t="shared" si="12"/>
        <v>16770.233202269184</v>
      </c>
      <c r="AN34" s="249">
        <f t="shared" si="3"/>
        <v>1677.0233202269185</v>
      </c>
      <c r="AO34" s="249">
        <f t="shared" si="4"/>
        <v>387.26971221708811</v>
      </c>
      <c r="AP34" s="249">
        <f t="shared" si="13"/>
        <v>3049.1333095034884</v>
      </c>
      <c r="AQ34" s="249">
        <f t="shared" si="5"/>
        <v>304.91333095034884</v>
      </c>
      <c r="AS34" s="239">
        <v>5</v>
      </c>
      <c r="AT34" s="249">
        <f t="shared" si="6"/>
        <v>11273.523943614338</v>
      </c>
      <c r="AU34" s="249">
        <f t="shared" si="14"/>
        <v>83525.520416708663</v>
      </c>
      <c r="AV34" s="249">
        <f t="shared" si="7"/>
        <v>8352.5520416708659</v>
      </c>
      <c r="AW34" s="249">
        <f t="shared" si="8"/>
        <v>2049.731626111698</v>
      </c>
      <c r="AX34" s="249">
        <f t="shared" si="15"/>
        <v>15186.458257583394</v>
      </c>
      <c r="AY34" s="249">
        <f t="shared" si="9"/>
        <v>1518.6458257583395</v>
      </c>
    </row>
    <row r="35" spans="2:51">
      <c r="B35" s="11"/>
      <c r="C35" s="12"/>
      <c r="D35" s="12"/>
      <c r="E35" s="12" t="s">
        <v>191</v>
      </c>
      <c r="F35" s="75"/>
      <c r="G35" s="60"/>
      <c r="H35" s="60" t="s">
        <v>101</v>
      </c>
      <c r="I35" s="66">
        <f>ROUND(I27*D30*D31*(1+D32),0)</f>
        <v>12139</v>
      </c>
      <c r="J35" s="65">
        <f t="shared" si="10"/>
        <v>40.46</v>
      </c>
      <c r="K35" s="76"/>
      <c r="L35" s="78"/>
      <c r="AC35" s="239">
        <v>7</v>
      </c>
      <c r="AD35" s="243" t="str">
        <f t="shared" si="1"/>
        <v>175 PTO Hp Tractor</v>
      </c>
      <c r="AE35" s="244">
        <v>312432</v>
      </c>
      <c r="AF35" s="244">
        <v>175</v>
      </c>
      <c r="AG35" s="244">
        <v>10</v>
      </c>
      <c r="AH35" s="239">
        <v>7</v>
      </c>
      <c r="AJ35" s="239">
        <f t="shared" si="11"/>
        <v>35628.813523972101</v>
      </c>
      <c r="AK35" s="239">
        <v>6</v>
      </c>
      <c r="AL35" s="249">
        <f t="shared" si="2"/>
        <v>1959.5847438184655</v>
      </c>
      <c r="AM35" s="249">
        <f t="shared" si="12"/>
        <v>18729.817946087649</v>
      </c>
      <c r="AN35" s="249">
        <f t="shared" si="3"/>
        <v>1872.9817946087649</v>
      </c>
      <c r="AO35" s="249">
        <f t="shared" si="4"/>
        <v>356.28813523972104</v>
      </c>
      <c r="AP35" s="249">
        <f t="shared" si="13"/>
        <v>3405.4214447432096</v>
      </c>
      <c r="AQ35" s="249">
        <f t="shared" si="5"/>
        <v>340.54214447432093</v>
      </c>
      <c r="AS35" s="239">
        <v>6</v>
      </c>
      <c r="AT35" s="249">
        <f t="shared" si="6"/>
        <v>10597.112506997481</v>
      </c>
      <c r="AU35" s="249">
        <f t="shared" si="14"/>
        <v>94122.632923706144</v>
      </c>
      <c r="AV35" s="249">
        <f t="shared" si="7"/>
        <v>9412.2632923706151</v>
      </c>
      <c r="AW35" s="249">
        <f t="shared" si="8"/>
        <v>1926.7477285449963</v>
      </c>
      <c r="AX35" s="249">
        <f t="shared" si="15"/>
        <v>17113.205986128389</v>
      </c>
      <c r="AY35" s="249">
        <f t="shared" si="9"/>
        <v>1711.3205986128389</v>
      </c>
    </row>
    <row r="36" spans="2:51">
      <c r="B36" s="11"/>
      <c r="C36" s="12"/>
      <c r="D36" s="12"/>
      <c r="E36" s="12"/>
      <c r="F36" s="75"/>
      <c r="G36" s="60"/>
      <c r="H36" s="60" t="s">
        <v>102</v>
      </c>
      <c r="I36" s="67">
        <f>D30*D34*D33</f>
        <v>6930</v>
      </c>
      <c r="J36" s="167">
        <f t="shared" si="10"/>
        <v>23.1</v>
      </c>
      <c r="K36" s="76"/>
      <c r="L36" s="78"/>
      <c r="AC36" s="239">
        <v>8</v>
      </c>
      <c r="AD36" s="243" t="str">
        <f t="shared" si="1"/>
        <v>205 PTO Hp Tractor</v>
      </c>
      <c r="AE36" s="244">
        <v>386456</v>
      </c>
      <c r="AF36" s="244">
        <v>205</v>
      </c>
      <c r="AG36" s="244">
        <v>10</v>
      </c>
      <c r="AH36" s="239">
        <v>8</v>
      </c>
      <c r="AJ36" s="239">
        <f t="shared" si="11"/>
        <v>32778.508442054335</v>
      </c>
      <c r="AK36" s="239">
        <v>7</v>
      </c>
      <c r="AL36" s="249">
        <f t="shared" si="2"/>
        <v>1802.8179643129884</v>
      </c>
      <c r="AM36" s="249">
        <f t="shared" si="12"/>
        <v>20532.635910400637</v>
      </c>
      <c r="AN36" s="249">
        <f t="shared" si="3"/>
        <v>2053.2635910400636</v>
      </c>
      <c r="AO36" s="249">
        <f t="shared" si="4"/>
        <v>327.78508442054334</v>
      </c>
      <c r="AP36" s="249">
        <f t="shared" si="13"/>
        <v>3733.2065291637527</v>
      </c>
      <c r="AQ36" s="249">
        <f t="shared" si="5"/>
        <v>373.32065291637525</v>
      </c>
      <c r="AS36" s="239">
        <v>7</v>
      </c>
      <c r="AT36" s="249">
        <f t="shared" si="6"/>
        <v>9961.2857565776285</v>
      </c>
      <c r="AU36" s="249">
        <f t="shared" si="14"/>
        <v>104083.91868028376</v>
      </c>
      <c r="AV36" s="249">
        <f t="shared" si="7"/>
        <v>10408.391868028377</v>
      </c>
      <c r="AW36" s="249">
        <f t="shared" si="8"/>
        <v>1811.142864832296</v>
      </c>
      <c r="AX36" s="249">
        <f t="shared" si="15"/>
        <v>18924.348850960683</v>
      </c>
      <c r="AY36" s="249">
        <f t="shared" si="9"/>
        <v>1892.4348850960682</v>
      </c>
    </row>
    <row r="37" spans="2:51" ht="13">
      <c r="B37" s="14"/>
      <c r="C37" s="15"/>
      <c r="D37" s="15"/>
      <c r="E37" s="15"/>
      <c r="F37" s="84"/>
      <c r="G37" s="168" t="s">
        <v>107</v>
      </c>
      <c r="H37" s="62"/>
      <c r="I37" s="169">
        <f>SUM(I31:I36)</f>
        <v>56531.646836524757</v>
      </c>
      <c r="J37" s="167">
        <f>SUM(J31:J36)</f>
        <v>188.42999999999998</v>
      </c>
      <c r="K37" s="79"/>
      <c r="L37" s="85"/>
      <c r="AC37" s="239">
        <v>9</v>
      </c>
      <c r="AD37" s="243" t="str">
        <f t="shared" si="1"/>
        <v>225 PTO Hp Tractor</v>
      </c>
      <c r="AE37" s="244">
        <v>401654</v>
      </c>
      <c r="AF37" s="244">
        <v>225</v>
      </c>
      <c r="AG37" s="244">
        <v>10</v>
      </c>
      <c r="AH37" s="239">
        <v>9</v>
      </c>
      <c r="AJ37" s="239">
        <f t="shared" si="11"/>
        <v>30156.22776668999</v>
      </c>
      <c r="AK37" s="239">
        <v>8</v>
      </c>
      <c r="AL37" s="249">
        <f t="shared" si="2"/>
        <v>1658.5925271679494</v>
      </c>
      <c r="AM37" s="249">
        <f t="shared" si="12"/>
        <v>22191.228437568585</v>
      </c>
      <c r="AN37" s="249">
        <f t="shared" si="3"/>
        <v>2219.1228437568584</v>
      </c>
      <c r="AO37" s="249">
        <f t="shared" si="4"/>
        <v>301.56227766689989</v>
      </c>
      <c r="AP37" s="249">
        <f t="shared" si="13"/>
        <v>4034.7688068306525</v>
      </c>
      <c r="AQ37" s="249">
        <f t="shared" si="5"/>
        <v>403.47688068306525</v>
      </c>
      <c r="AS37" s="239">
        <v>8</v>
      </c>
      <c r="AT37" s="249">
        <f t="shared" si="6"/>
        <v>9363.6086111829718</v>
      </c>
      <c r="AU37" s="249">
        <f t="shared" si="14"/>
        <v>113447.52729146674</v>
      </c>
      <c r="AV37" s="249">
        <f t="shared" si="7"/>
        <v>11344.752729146674</v>
      </c>
      <c r="AW37" s="249">
        <f t="shared" si="8"/>
        <v>1702.4742929423587</v>
      </c>
      <c r="AX37" s="249">
        <f t="shared" si="15"/>
        <v>20626.823143903042</v>
      </c>
      <c r="AY37" s="249">
        <f t="shared" si="9"/>
        <v>2062.6823143903043</v>
      </c>
    </row>
    <row r="38" spans="2:51" ht="13">
      <c r="B38" s="8"/>
      <c r="C38" s="172" t="s">
        <v>228</v>
      </c>
      <c r="D38" s="9"/>
      <c r="E38" s="10"/>
      <c r="F38" s="72"/>
      <c r="G38" s="160" t="s">
        <v>199</v>
      </c>
      <c r="H38" s="161"/>
      <c r="I38" s="161"/>
      <c r="J38" s="161"/>
      <c r="K38" s="73"/>
      <c r="L38" s="74"/>
      <c r="AC38" s="239">
        <v>10</v>
      </c>
      <c r="AD38" s="243" t="str">
        <f t="shared" si="1"/>
        <v>240 PTO Hp Tractor</v>
      </c>
      <c r="AE38" s="244">
        <v>416853</v>
      </c>
      <c r="AF38" s="244">
        <v>240</v>
      </c>
      <c r="AG38" s="244">
        <v>10</v>
      </c>
      <c r="AH38" s="239">
        <v>10</v>
      </c>
      <c r="AJ38" s="239">
        <f t="shared" si="11"/>
        <v>27743.729545354792</v>
      </c>
      <c r="AK38" s="239">
        <v>9</v>
      </c>
      <c r="AL38" s="249">
        <f t="shared" si="2"/>
        <v>1525.9051249945135</v>
      </c>
      <c r="AM38" s="249">
        <f t="shared" si="12"/>
        <v>23717.1335625631</v>
      </c>
      <c r="AN38" s="249">
        <f t="shared" si="3"/>
        <v>2371.7133562563099</v>
      </c>
      <c r="AO38" s="249">
        <f t="shared" si="4"/>
        <v>277.4372954535479</v>
      </c>
      <c r="AP38" s="249">
        <f t="shared" si="13"/>
        <v>4312.2061022842008</v>
      </c>
      <c r="AQ38" s="249">
        <f t="shared" si="5"/>
        <v>431.22061022842007</v>
      </c>
      <c r="AS38" s="239">
        <v>9</v>
      </c>
      <c r="AT38" s="249">
        <f t="shared" si="6"/>
        <v>8801.7920945119931</v>
      </c>
      <c r="AU38" s="249">
        <f t="shared" si="14"/>
        <v>122249.31938597874</v>
      </c>
      <c r="AV38" s="249">
        <f t="shared" si="7"/>
        <v>12224.931938597874</v>
      </c>
      <c r="AW38" s="249">
        <f t="shared" si="8"/>
        <v>1600.3258353658168</v>
      </c>
      <c r="AX38" s="249">
        <f t="shared" si="15"/>
        <v>22227.148979268859</v>
      </c>
      <c r="AY38" s="249">
        <f t="shared" si="9"/>
        <v>2222.7148979268859</v>
      </c>
    </row>
    <row r="39" spans="2:51">
      <c r="B39" s="11"/>
      <c r="C39" s="12"/>
      <c r="D39" s="12"/>
      <c r="E39" s="13"/>
      <c r="F39" s="75"/>
      <c r="G39" s="76"/>
      <c r="H39" s="76"/>
      <c r="I39" s="77" t="s">
        <v>103</v>
      </c>
      <c r="J39" s="77" t="s">
        <v>103</v>
      </c>
      <c r="K39" s="77" t="s">
        <v>103</v>
      </c>
      <c r="L39" s="78"/>
      <c r="AC39" s="239">
        <v>11</v>
      </c>
      <c r="AD39" s="243" t="str">
        <f t="shared" si="1"/>
        <v>260 PTO Hp Tractor</v>
      </c>
      <c r="AE39" s="244">
        <v>528259</v>
      </c>
      <c r="AF39" s="244">
        <v>260</v>
      </c>
      <c r="AG39" s="244">
        <v>10</v>
      </c>
      <c r="AH39" s="239">
        <v>11</v>
      </c>
      <c r="AJ39" s="239">
        <f t="shared" si="11"/>
        <v>25524.231181726413</v>
      </c>
      <c r="AK39" s="239">
        <v>10</v>
      </c>
      <c r="AL39" s="249">
        <f t="shared" si="2"/>
        <v>1403.8327149949528</v>
      </c>
      <c r="AM39" s="249">
        <f t="shared" si="12"/>
        <v>25120.966277558051</v>
      </c>
      <c r="AN39" s="249">
        <f t="shared" si="3"/>
        <v>2512.096627755805</v>
      </c>
      <c r="AO39" s="249">
        <f t="shared" si="4"/>
        <v>255.24231181726412</v>
      </c>
      <c r="AP39" s="249">
        <f t="shared" si="13"/>
        <v>4567.4484141014646</v>
      </c>
      <c r="AQ39" s="249">
        <f t="shared" si="5"/>
        <v>456.74484141014648</v>
      </c>
      <c r="AS39" s="239">
        <v>10</v>
      </c>
      <c r="AT39" s="249">
        <f t="shared" si="6"/>
        <v>8273.6845688412741</v>
      </c>
      <c r="AU39" s="249">
        <f t="shared" si="14"/>
        <v>130523.00395482001</v>
      </c>
      <c r="AV39" s="249">
        <f t="shared" si="7"/>
        <v>13052.300395482001</v>
      </c>
      <c r="AW39" s="249">
        <f t="shared" si="8"/>
        <v>1504.3062852438679</v>
      </c>
      <c r="AX39" s="249">
        <f t="shared" si="15"/>
        <v>23731.455264512726</v>
      </c>
      <c r="AY39" s="249">
        <f t="shared" si="9"/>
        <v>2373.1455264512724</v>
      </c>
    </row>
    <row r="40" spans="2:51">
      <c r="B40" s="11"/>
      <c r="C40" s="12" t="s">
        <v>80</v>
      </c>
      <c r="D40" s="26">
        <v>0.85</v>
      </c>
      <c r="E40" s="58" t="s">
        <v>187</v>
      </c>
      <c r="F40" s="75"/>
      <c r="G40" s="79" t="s">
        <v>108</v>
      </c>
      <c r="H40" s="79"/>
      <c r="I40" s="80" t="s">
        <v>104</v>
      </c>
      <c r="J40" s="80" t="s">
        <v>106</v>
      </c>
      <c r="K40" s="80" t="s">
        <v>135</v>
      </c>
      <c r="L40" s="78"/>
      <c r="AC40" s="239">
        <v>12</v>
      </c>
      <c r="AD40" s="243" t="str">
        <f t="shared" si="1"/>
        <v>285 PTO Hp Tractor</v>
      </c>
      <c r="AE40" s="244">
        <v>548201</v>
      </c>
      <c r="AF40" s="244">
        <v>285</v>
      </c>
      <c r="AG40" s="244">
        <v>10</v>
      </c>
      <c r="AH40" s="239">
        <v>12</v>
      </c>
      <c r="AJ40" s="239">
        <f t="shared" si="11"/>
        <v>23482.292687188299</v>
      </c>
      <c r="AK40" s="239">
        <v>11</v>
      </c>
      <c r="AL40" s="249">
        <f t="shared" si="2"/>
        <v>1291.5260977953565</v>
      </c>
      <c r="AM40" s="249">
        <f t="shared" si="12"/>
        <v>26412.492375353406</v>
      </c>
      <c r="AN40" s="249">
        <f t="shared" si="3"/>
        <v>2641.2492375353404</v>
      </c>
      <c r="AO40" s="249">
        <f t="shared" si="4"/>
        <v>234.822926871883</v>
      </c>
      <c r="AP40" s="249">
        <f t="shared" si="13"/>
        <v>4802.2713409733478</v>
      </c>
      <c r="AQ40" s="249">
        <f t="shared" si="5"/>
        <v>480.22713409733478</v>
      </c>
      <c r="AS40" s="239">
        <v>11</v>
      </c>
      <c r="AT40" s="249">
        <f t="shared" si="6"/>
        <v>7777.2634947107963</v>
      </c>
      <c r="AU40" s="249">
        <f t="shared" si="14"/>
        <v>138300.2674495308</v>
      </c>
      <c r="AV40" s="249">
        <f t="shared" si="7"/>
        <v>13830.02674495308</v>
      </c>
      <c r="AW40" s="249">
        <f t="shared" si="8"/>
        <v>1414.0479081292358</v>
      </c>
      <c r="AX40" s="249">
        <f t="shared" si="15"/>
        <v>25145.503172641962</v>
      </c>
      <c r="AY40" s="249">
        <f t="shared" si="9"/>
        <v>2514.5503172641961</v>
      </c>
    </row>
    <row r="41" spans="2:51">
      <c r="B41" s="11"/>
      <c r="C41" s="12" t="s">
        <v>82</v>
      </c>
      <c r="D41" s="69">
        <v>5.5E-2</v>
      </c>
      <c r="E41" s="13" t="s">
        <v>188</v>
      </c>
      <c r="F41" s="75"/>
      <c r="G41" s="60"/>
      <c r="H41" s="60" t="s">
        <v>98</v>
      </c>
      <c r="I41" s="64">
        <f>ROUND(I17+($D$19/$D$30)*I31,0)</f>
        <v>12174</v>
      </c>
      <c r="J41" s="65">
        <f>J17+J31</f>
        <v>113.77</v>
      </c>
      <c r="K41" s="87">
        <f t="shared" ref="K41:K46" si="16">ROUND(I41/($D$14+$D$15),2)</f>
        <v>8.6999999999999993</v>
      </c>
      <c r="L41" s="78"/>
      <c r="AC41" s="239">
        <v>13</v>
      </c>
      <c r="AD41" s="243" t="str">
        <f t="shared" si="1"/>
        <v>310 PTO Hp Tractor</v>
      </c>
      <c r="AE41" s="244">
        <v>579945</v>
      </c>
      <c r="AF41" s="244">
        <v>310</v>
      </c>
      <c r="AG41" s="244">
        <v>10</v>
      </c>
      <c r="AH41" s="239">
        <v>13</v>
      </c>
      <c r="AJ41" s="239">
        <f t="shared" si="11"/>
        <v>21603.709272213237</v>
      </c>
      <c r="AK41" s="239">
        <v>12</v>
      </c>
      <c r="AL41" s="249">
        <f t="shared" si="2"/>
        <v>1188.2040099717281</v>
      </c>
      <c r="AM41" s="249">
        <f t="shared" si="12"/>
        <v>27600.696385325133</v>
      </c>
      <c r="AN41" s="249">
        <f t="shared" si="3"/>
        <v>2760.0696385325132</v>
      </c>
      <c r="AO41" s="249">
        <f t="shared" si="4"/>
        <v>216.03709272213237</v>
      </c>
      <c r="AP41" s="249">
        <f t="shared" si="13"/>
        <v>5018.3084336954798</v>
      </c>
      <c r="AQ41" s="249">
        <f t="shared" si="5"/>
        <v>501.83084336954801</v>
      </c>
      <c r="AS41" s="239">
        <v>12</v>
      </c>
      <c r="AT41" s="249">
        <f t="shared" si="6"/>
        <v>7310.6276850281492</v>
      </c>
      <c r="AU41" s="249">
        <f t="shared" si="14"/>
        <v>145610.89513455896</v>
      </c>
      <c r="AV41" s="249">
        <f t="shared" si="7"/>
        <v>14561.089513455896</v>
      </c>
      <c r="AW41" s="249">
        <f t="shared" si="8"/>
        <v>1329.2050336414818</v>
      </c>
      <c r="AX41" s="249">
        <f t="shared" si="15"/>
        <v>26474.708206283445</v>
      </c>
      <c r="AY41" s="249">
        <f t="shared" si="9"/>
        <v>2647.4708206283444</v>
      </c>
    </row>
    <row r="42" spans="2:51">
      <c r="B42" s="11"/>
      <c r="C42" s="12" t="s">
        <v>84</v>
      </c>
      <c r="D42" s="69">
        <v>0.01</v>
      </c>
      <c r="E42" s="13" t="s">
        <v>188</v>
      </c>
      <c r="F42" s="75"/>
      <c r="G42" s="60"/>
      <c r="H42" s="60" t="s">
        <v>99</v>
      </c>
      <c r="I42" s="64">
        <f>ROUND(I18+($D$19/$D$30)*I32,0)</f>
        <v>6732</v>
      </c>
      <c r="J42" s="65">
        <f>J18+J32</f>
        <v>62.92</v>
      </c>
      <c r="K42" s="82">
        <f t="shared" si="16"/>
        <v>4.8099999999999996</v>
      </c>
      <c r="L42" s="78"/>
      <c r="AC42" s="239">
        <v>14</v>
      </c>
      <c r="AD42" s="243" t="str">
        <f t="shared" si="1"/>
        <v>390 PTO Hp Tractor</v>
      </c>
      <c r="AE42" s="244">
        <v>520995</v>
      </c>
      <c r="AF42" s="244">
        <v>390</v>
      </c>
      <c r="AG42" s="244">
        <v>10</v>
      </c>
      <c r="AH42" s="239">
        <v>14</v>
      </c>
      <c r="AJ42" s="239">
        <f t="shared" si="11"/>
        <v>19875.412530436177</v>
      </c>
      <c r="AK42" s="239">
        <v>13</v>
      </c>
      <c r="AL42" s="249">
        <f t="shared" si="2"/>
        <v>1093.1476891739896</v>
      </c>
      <c r="AM42" s="249">
        <f t="shared" si="12"/>
        <v>28693.844074499124</v>
      </c>
      <c r="AN42" s="249">
        <f t="shared" si="3"/>
        <v>2869.3844074499125</v>
      </c>
      <c r="AO42" s="249">
        <f t="shared" si="4"/>
        <v>198.75412530436176</v>
      </c>
      <c r="AP42" s="249">
        <f t="shared" si="13"/>
        <v>5217.0625589998417</v>
      </c>
      <c r="AQ42" s="249">
        <f t="shared" si="5"/>
        <v>521.70625589998417</v>
      </c>
      <c r="AS42" s="239">
        <v>13</v>
      </c>
      <c r="AT42" s="249">
        <f t="shared" si="6"/>
        <v>6871.9900239264598</v>
      </c>
      <c r="AU42" s="249">
        <f t="shared" si="14"/>
        <v>152482.88515848541</v>
      </c>
      <c r="AV42" s="249">
        <f t="shared" si="7"/>
        <v>15248.288515848541</v>
      </c>
      <c r="AW42" s="249">
        <f t="shared" si="8"/>
        <v>1249.4527316229928</v>
      </c>
      <c r="AX42" s="249">
        <f t="shared" si="15"/>
        <v>27724.160937906439</v>
      </c>
      <c r="AY42" s="249">
        <f t="shared" si="9"/>
        <v>2772.416093790644</v>
      </c>
    </row>
    <row r="43" spans="2:51">
      <c r="B43" s="11"/>
      <c r="C43" s="12"/>
      <c r="D43" s="12"/>
      <c r="E43" s="13"/>
      <c r="F43" s="75"/>
      <c r="G43" s="60"/>
      <c r="H43" s="60" t="s">
        <v>84</v>
      </c>
      <c r="I43" s="64">
        <f>ROUND(I19+($D$19/$D$30)*I33,0)</f>
        <v>1224</v>
      </c>
      <c r="J43" s="65">
        <f>J19+J33</f>
        <v>11.440000000000001</v>
      </c>
      <c r="K43" s="82">
        <f t="shared" si="16"/>
        <v>0.87</v>
      </c>
      <c r="L43" s="78"/>
      <c r="AC43" s="239">
        <v>15</v>
      </c>
      <c r="AD43" s="243" t="str">
        <f t="shared" si="1"/>
        <v>440 PTO Hp Tractor</v>
      </c>
      <c r="AE43" s="244">
        <v>559017</v>
      </c>
      <c r="AF43" s="244">
        <v>440</v>
      </c>
      <c r="AG43" s="244">
        <v>10</v>
      </c>
      <c r="AH43" s="239">
        <v>15</v>
      </c>
      <c r="AJ43" s="239">
        <f t="shared" si="11"/>
        <v>18285.379528001282</v>
      </c>
      <c r="AK43" s="239">
        <v>14</v>
      </c>
      <c r="AL43" s="249">
        <f t="shared" si="2"/>
        <v>1005.6958740400705</v>
      </c>
      <c r="AM43" s="249">
        <f t="shared" si="12"/>
        <v>29699.539948539194</v>
      </c>
      <c r="AN43" s="249">
        <f t="shared" si="3"/>
        <v>2969.9539948539195</v>
      </c>
      <c r="AO43" s="249">
        <f t="shared" si="4"/>
        <v>182.85379528001283</v>
      </c>
      <c r="AP43" s="249">
        <f t="shared" si="13"/>
        <v>5399.9163542798542</v>
      </c>
      <c r="AQ43" s="249">
        <f t="shared" si="5"/>
        <v>539.99163542798544</v>
      </c>
      <c r="AS43" s="239">
        <v>14</v>
      </c>
      <c r="AT43" s="249">
        <f t="shared" si="6"/>
        <v>6459.6706224908739</v>
      </c>
      <c r="AU43" s="249">
        <f t="shared" si="14"/>
        <v>158942.55578097628</v>
      </c>
      <c r="AV43" s="249">
        <f t="shared" si="7"/>
        <v>15894.255578097629</v>
      </c>
      <c r="AW43" s="249">
        <f t="shared" si="8"/>
        <v>1174.4855677256135</v>
      </c>
      <c r="AX43" s="249">
        <f t="shared" si="15"/>
        <v>28898.646505632052</v>
      </c>
      <c r="AY43" s="249">
        <f t="shared" si="9"/>
        <v>2889.864650563205</v>
      </c>
    </row>
    <row r="44" spans="2:51">
      <c r="B44" s="11"/>
      <c r="C44" s="12"/>
      <c r="D44" s="12"/>
      <c r="E44" s="12"/>
      <c r="F44" s="75"/>
      <c r="G44" s="60"/>
      <c r="H44" s="60" t="s">
        <v>100</v>
      </c>
      <c r="I44" s="64">
        <f>ROUND(I20+($D$19/$D$30)*I34,0)</f>
        <v>1007</v>
      </c>
      <c r="J44" s="65">
        <f>J20+J34</f>
        <v>9.4</v>
      </c>
      <c r="K44" s="82">
        <f t="shared" si="16"/>
        <v>0.72</v>
      </c>
      <c r="L44" s="78"/>
      <c r="AC44" s="239">
        <v>16</v>
      </c>
      <c r="AD44" s="243" t="str">
        <f t="shared" si="1"/>
        <v>490 PTO Hp Tractor</v>
      </c>
      <c r="AE44" s="244">
        <v>602796</v>
      </c>
      <c r="AF44" s="244">
        <v>490</v>
      </c>
      <c r="AG44" s="244">
        <v>10</v>
      </c>
      <c r="AH44" s="239">
        <v>16</v>
      </c>
      <c r="AJ44" s="239">
        <f t="shared" si="11"/>
        <v>16822.549165761182</v>
      </c>
      <c r="AK44" s="239">
        <v>15</v>
      </c>
      <c r="AL44" s="249">
        <f t="shared" si="2"/>
        <v>925.24020411686502</v>
      </c>
      <c r="AM44" s="249">
        <f t="shared" si="12"/>
        <v>30624.780152656058</v>
      </c>
      <c r="AN44" s="249">
        <f t="shared" si="3"/>
        <v>3062.4780152656058</v>
      </c>
      <c r="AO44" s="249">
        <f t="shared" si="4"/>
        <v>168.22549165761183</v>
      </c>
      <c r="AP44" s="249">
        <f t="shared" si="13"/>
        <v>5568.1418459374663</v>
      </c>
      <c r="AQ44" s="249">
        <f t="shared" si="5"/>
        <v>556.81418459374663</v>
      </c>
      <c r="AS44" s="239">
        <v>15</v>
      </c>
      <c r="AT44" s="249">
        <f t="shared" si="6"/>
        <v>6072.0903851414196</v>
      </c>
      <c r="AU44" s="249">
        <f t="shared" si="14"/>
        <v>165014.64616611772</v>
      </c>
      <c r="AV44" s="249">
        <f t="shared" si="7"/>
        <v>16501.464616611771</v>
      </c>
      <c r="AW44" s="249">
        <f t="shared" si="8"/>
        <v>1104.0164336620762</v>
      </c>
      <c r="AX44" s="249">
        <f t="shared" si="15"/>
        <v>30002.662939294129</v>
      </c>
      <c r="AY44" s="249">
        <f t="shared" si="9"/>
        <v>3000.2662939294128</v>
      </c>
    </row>
    <row r="45" spans="2:51">
      <c r="B45" s="11"/>
      <c r="C45" s="12"/>
      <c r="D45" s="12"/>
      <c r="E45" s="13"/>
      <c r="F45" s="75"/>
      <c r="G45" s="60"/>
      <c r="H45" s="60" t="s">
        <v>101</v>
      </c>
      <c r="I45" s="64">
        <f>ROUND(($D$19/$D$30)*I35,0)</f>
        <v>4330</v>
      </c>
      <c r="J45" s="65">
        <f>J35</f>
        <v>40.46</v>
      </c>
      <c r="K45" s="82">
        <f t="shared" si="16"/>
        <v>3.09</v>
      </c>
      <c r="L45" s="78"/>
      <c r="AC45" s="239">
        <v>17</v>
      </c>
      <c r="AD45" s="243" t="str">
        <f t="shared" si="1"/>
        <v>590 PTO Hp Tractor</v>
      </c>
      <c r="AE45" s="244">
        <v>675931</v>
      </c>
      <c r="AF45" s="244">
        <v>590</v>
      </c>
      <c r="AG45" s="244">
        <v>10</v>
      </c>
      <c r="AH45" s="239">
        <v>17</v>
      </c>
      <c r="AJ45" s="239">
        <f t="shared" si="11"/>
        <v>15476.745232500287</v>
      </c>
      <c r="AK45" s="239">
        <v>16</v>
      </c>
      <c r="AL45" s="249">
        <f t="shared" si="2"/>
        <v>851.22098778751581</v>
      </c>
      <c r="AM45" s="249">
        <f t="shared" si="12"/>
        <v>31476.001140443575</v>
      </c>
      <c r="AN45" s="249">
        <f t="shared" si="3"/>
        <v>3147.6001140443577</v>
      </c>
      <c r="AO45" s="249">
        <f t="shared" si="4"/>
        <v>154.76745232500286</v>
      </c>
      <c r="AP45" s="249">
        <f t="shared" si="13"/>
        <v>5722.9092982624688</v>
      </c>
      <c r="AQ45" s="249">
        <f t="shared" si="5"/>
        <v>572.29092982624684</v>
      </c>
      <c r="AS45" s="239">
        <v>16</v>
      </c>
      <c r="AT45" s="249">
        <f t="shared" si="6"/>
        <v>5707.7649620329348</v>
      </c>
      <c r="AU45" s="249">
        <f t="shared" si="14"/>
        <v>170722.41112815065</v>
      </c>
      <c r="AV45" s="249">
        <f t="shared" si="7"/>
        <v>17072.241112815063</v>
      </c>
      <c r="AW45" s="249">
        <f t="shared" si="8"/>
        <v>1037.7754476423518</v>
      </c>
      <c r="AX45" s="249">
        <f t="shared" si="15"/>
        <v>31040.438386936479</v>
      </c>
      <c r="AY45" s="249">
        <f t="shared" si="9"/>
        <v>3104.043838693648</v>
      </c>
    </row>
    <row r="46" spans="2:51">
      <c r="B46" s="11"/>
      <c r="C46" s="12"/>
      <c r="D46" s="12"/>
      <c r="E46" s="13"/>
      <c r="F46" s="75"/>
      <c r="G46" s="60"/>
      <c r="H46" s="60" t="s">
        <v>102</v>
      </c>
      <c r="I46" s="169">
        <f>ROUND(($D$19/$D$30)*I36,0)</f>
        <v>2472</v>
      </c>
      <c r="J46" s="167">
        <f>J36</f>
        <v>23.1</v>
      </c>
      <c r="K46" s="105">
        <f t="shared" si="16"/>
        <v>1.77</v>
      </c>
      <c r="L46" s="78"/>
      <c r="AC46" s="239">
        <v>18</v>
      </c>
      <c r="AD46" s="243" t="str">
        <f t="shared" si="1"/>
        <v>640 PTO Hp Tractor</v>
      </c>
      <c r="AE46" s="244">
        <v>726306</v>
      </c>
      <c r="AF46" s="244">
        <v>640</v>
      </c>
      <c r="AG46" s="244">
        <v>10</v>
      </c>
      <c r="AH46" s="239">
        <v>18</v>
      </c>
      <c r="AJ46" s="239">
        <f t="shared" si="11"/>
        <v>14238.605613900265</v>
      </c>
      <c r="AK46" s="239">
        <v>17</v>
      </c>
      <c r="AL46" s="249">
        <f t="shared" si="2"/>
        <v>783.1233087645146</v>
      </c>
      <c r="AM46" s="249">
        <f t="shared" si="12"/>
        <v>32259.124449208091</v>
      </c>
      <c r="AN46" s="249">
        <f t="shared" si="3"/>
        <v>3225.9124449208093</v>
      </c>
      <c r="AO46" s="249">
        <f t="shared" si="4"/>
        <v>142.38605613900265</v>
      </c>
      <c r="AP46" s="249">
        <f t="shared" si="13"/>
        <v>5865.2953544014717</v>
      </c>
      <c r="AQ46" s="249">
        <f t="shared" si="5"/>
        <v>586.52953544014713</v>
      </c>
      <c r="AS46" s="239">
        <v>17</v>
      </c>
      <c r="AT46" s="249">
        <f t="shared" si="6"/>
        <v>5365.2990643109588</v>
      </c>
      <c r="AU46" s="249">
        <f t="shared" si="14"/>
        <v>176087.71019246161</v>
      </c>
      <c r="AV46" s="249">
        <f t="shared" si="7"/>
        <v>17608.77101924616</v>
      </c>
      <c r="AW46" s="249">
        <f t="shared" si="8"/>
        <v>975.50892078381082</v>
      </c>
      <c r="AX46" s="249">
        <f t="shared" si="15"/>
        <v>32015.947307720289</v>
      </c>
      <c r="AY46" s="249">
        <f t="shared" si="9"/>
        <v>3201.5947307720289</v>
      </c>
    </row>
    <row r="47" spans="2:51" ht="13">
      <c r="B47" s="14"/>
      <c r="C47" s="15"/>
      <c r="D47" s="15"/>
      <c r="E47" s="16"/>
      <c r="F47" s="84"/>
      <c r="G47" s="168" t="s">
        <v>107</v>
      </c>
      <c r="H47" s="62"/>
      <c r="I47" s="169">
        <f>SUM(I41:I46)</f>
        <v>27939</v>
      </c>
      <c r="J47" s="167">
        <f>SUM(J41:J46)</f>
        <v>261.09000000000003</v>
      </c>
      <c r="K47" s="167">
        <f>SUM(K41:K46)</f>
        <v>19.959999999999997</v>
      </c>
      <c r="L47" s="85"/>
      <c r="AH47" s="175"/>
      <c r="AJ47" s="239">
        <f t="shared" si="11"/>
        <v>13099.517164788245</v>
      </c>
      <c r="AK47" s="239">
        <v>18</v>
      </c>
      <c r="AL47" s="249">
        <f t="shared" si="2"/>
        <v>720.47344406335344</v>
      </c>
      <c r="AM47" s="249">
        <f t="shared" si="12"/>
        <v>32979.597893271442</v>
      </c>
      <c r="AN47" s="249">
        <f t="shared" si="3"/>
        <v>3297.9597893271443</v>
      </c>
      <c r="AO47" s="249">
        <f t="shared" si="4"/>
        <v>130.99517164788244</v>
      </c>
      <c r="AP47" s="249">
        <f t="shared" si="13"/>
        <v>5996.2905260493544</v>
      </c>
      <c r="AQ47" s="249">
        <f t="shared" si="5"/>
        <v>599.6290526049354</v>
      </c>
      <c r="AS47" s="239">
        <v>18</v>
      </c>
      <c r="AT47" s="249">
        <f t="shared" si="6"/>
        <v>5043.3811204523008</v>
      </c>
      <c r="AU47" s="249">
        <f t="shared" si="14"/>
        <v>181131.09131291392</v>
      </c>
      <c r="AV47" s="249">
        <f t="shared" si="7"/>
        <v>18113.109131291392</v>
      </c>
      <c r="AW47" s="249">
        <f t="shared" si="8"/>
        <v>916.97838553678207</v>
      </c>
      <c r="AX47" s="249">
        <f t="shared" si="15"/>
        <v>32932.925693257072</v>
      </c>
      <c r="AY47" s="249">
        <f t="shared" si="9"/>
        <v>3293.2925693257071</v>
      </c>
    </row>
    <row r="48" spans="2:51">
      <c r="AH48" s="175"/>
      <c r="AJ48" s="239">
        <f t="shared" si="11"/>
        <v>12051.555791605184</v>
      </c>
      <c r="AK48" s="239">
        <v>19</v>
      </c>
      <c r="AL48" s="249">
        <f t="shared" si="2"/>
        <v>662.83556853828509</v>
      </c>
      <c r="AM48" s="249">
        <f t="shared" si="12"/>
        <v>33642.433461809727</v>
      </c>
      <c r="AN48" s="249">
        <f t="shared" si="3"/>
        <v>3364.2433461809728</v>
      </c>
      <c r="AO48" s="249">
        <f t="shared" si="4"/>
        <v>120.51555791605185</v>
      </c>
      <c r="AP48" s="249">
        <f t="shared" si="13"/>
        <v>6116.8060839654063</v>
      </c>
      <c r="AQ48" s="249">
        <f t="shared" si="5"/>
        <v>611.68060839654061</v>
      </c>
      <c r="AS48" s="239">
        <v>19</v>
      </c>
      <c r="AT48" s="249">
        <f t="shared" si="6"/>
        <v>4740.7782532251622</v>
      </c>
      <c r="AU48" s="249">
        <f t="shared" si="14"/>
        <v>185871.8695661391</v>
      </c>
      <c r="AV48" s="249">
        <f t="shared" si="7"/>
        <v>18587.18695661391</v>
      </c>
      <c r="AW48" s="249">
        <f t="shared" si="8"/>
        <v>861.95968240457501</v>
      </c>
      <c r="AX48" s="249">
        <f t="shared" si="15"/>
        <v>33794.885375661645</v>
      </c>
      <c r="AY48" s="249">
        <f t="shared" si="9"/>
        <v>3379.4885375661643</v>
      </c>
    </row>
    <row r="49" spans="7:51" hidden="1">
      <c r="G49" s="245" t="s">
        <v>61</v>
      </c>
      <c r="I49" s="260">
        <f>(D14/D12)/((D14/D12)+(D15/D13))</f>
        <v>0.59259259259259267</v>
      </c>
      <c r="J49" s="259">
        <f>D14/D12</f>
        <v>63.636363636363633</v>
      </c>
      <c r="K49" s="232"/>
      <c r="AH49" s="175"/>
      <c r="AJ49" s="239">
        <f t="shared" si="11"/>
        <v>11087.431328276771</v>
      </c>
      <c r="AK49" s="239">
        <v>20</v>
      </c>
      <c r="AL49" s="249">
        <f t="shared" si="2"/>
        <v>609.80872305522234</v>
      </c>
      <c r="AM49" s="249">
        <f t="shared" si="12"/>
        <v>34252.242184864946</v>
      </c>
      <c r="AN49" s="249">
        <f t="shared" si="3"/>
        <v>3425.2242184864945</v>
      </c>
      <c r="AO49" s="249">
        <f t="shared" si="4"/>
        <v>110.87431328276772</v>
      </c>
      <c r="AP49" s="249">
        <f t="shared" si="13"/>
        <v>6227.6803972481739</v>
      </c>
      <c r="AQ49" s="249">
        <f t="shared" si="5"/>
        <v>622.76803972481741</v>
      </c>
      <c r="AS49" s="239">
        <v>20</v>
      </c>
      <c r="AT49" s="249">
        <f t="shared" si="6"/>
        <v>4456.331558031653</v>
      </c>
      <c r="AU49" s="249">
        <f t="shared" si="14"/>
        <v>190328.20112417074</v>
      </c>
      <c r="AV49" s="249">
        <f t="shared" si="7"/>
        <v>19032.820112417074</v>
      </c>
      <c r="AW49" s="249">
        <f t="shared" si="8"/>
        <v>810.24210146030055</v>
      </c>
      <c r="AX49" s="249">
        <f t="shared" si="15"/>
        <v>34605.127477121947</v>
      </c>
      <c r="AY49" s="249">
        <f t="shared" si="9"/>
        <v>3460.5127477121946</v>
      </c>
    </row>
    <row r="50" spans="7:51" hidden="1">
      <c r="H50" s="245" t="s">
        <v>457</v>
      </c>
      <c r="I50" s="261">
        <f>ROUND(I21*$I$49,0)</f>
        <v>4607</v>
      </c>
      <c r="J50" s="257">
        <f>ROUND(I50/$J$49,2)</f>
        <v>72.400000000000006</v>
      </c>
      <c r="K50" s="257">
        <f>ROUND(I50/$D$14,2)</f>
        <v>6.58</v>
      </c>
      <c r="AH50" s="175"/>
      <c r="AJ50" s="239">
        <f t="shared" si="11"/>
        <v>10200.43682201463</v>
      </c>
      <c r="AK50" s="239">
        <v>21</v>
      </c>
      <c r="AL50" s="249">
        <f t="shared" si="2"/>
        <v>561.02402521080467</v>
      </c>
      <c r="AM50" s="249">
        <f t="shared" si="12"/>
        <v>34813.266210075752</v>
      </c>
      <c r="AN50" s="249">
        <f t="shared" si="3"/>
        <v>3481.3266210075753</v>
      </c>
      <c r="AO50" s="249">
        <f t="shared" si="4"/>
        <v>102.0043682201463</v>
      </c>
      <c r="AP50" s="249">
        <f t="shared" si="13"/>
        <v>6329.6847654683206</v>
      </c>
      <c r="AQ50" s="249">
        <f t="shared" si="5"/>
        <v>632.96847654683211</v>
      </c>
      <c r="AS50" s="239">
        <v>21</v>
      </c>
      <c r="AT50" s="249">
        <f t="shared" si="6"/>
        <v>4188.9516645497533</v>
      </c>
      <c r="AU50" s="249">
        <f t="shared" si="14"/>
        <v>194517.1527887205</v>
      </c>
      <c r="AV50" s="249">
        <f t="shared" si="7"/>
        <v>19451.715278872049</v>
      </c>
      <c r="AW50" s="249">
        <f t="shared" si="8"/>
        <v>761.62757537268249</v>
      </c>
      <c r="AX50" s="249">
        <f t="shared" si="15"/>
        <v>35366.755052494627</v>
      </c>
      <c r="AY50" s="249">
        <f t="shared" si="9"/>
        <v>3536.6755052494627</v>
      </c>
    </row>
    <row r="51" spans="7:51" hidden="1">
      <c r="H51" s="245" t="s">
        <v>458</v>
      </c>
      <c r="I51" s="261">
        <f>ROUND(SUM($I$31:$I$34)*($D$19/$D$30)*$I$49,0)</f>
        <v>7918</v>
      </c>
      <c r="J51" s="257">
        <f>ROUND(I51/$J$49,2)</f>
        <v>124.43</v>
      </c>
      <c r="K51" s="257">
        <f>ROUND(I51/$D$14,2)</f>
        <v>11.31</v>
      </c>
      <c r="O51" s="258"/>
      <c r="P51" s="258"/>
      <c r="AH51" s="175"/>
      <c r="AJ51" s="239">
        <f t="shared" si="11"/>
        <v>9384.4018762534597</v>
      </c>
      <c r="AK51" s="239">
        <v>22</v>
      </c>
      <c r="AL51" s="249">
        <f t="shared" si="2"/>
        <v>516.14210319394033</v>
      </c>
      <c r="AM51" s="249">
        <f t="shared" si="12"/>
        <v>35329.408313269691</v>
      </c>
      <c r="AN51" s="249">
        <f t="shared" si="3"/>
        <v>3532.9408313269691</v>
      </c>
      <c r="AO51" s="249">
        <f t="shared" si="4"/>
        <v>93.844018762534603</v>
      </c>
      <c r="AP51" s="249">
        <f t="shared" si="13"/>
        <v>6423.5287842308553</v>
      </c>
      <c r="AQ51" s="249">
        <f t="shared" si="5"/>
        <v>642.35287842308549</v>
      </c>
      <c r="AS51" s="239">
        <v>22</v>
      </c>
      <c r="AT51" s="249">
        <f t="shared" si="6"/>
        <v>3937.6145646767682</v>
      </c>
      <c r="AU51" s="249">
        <f t="shared" si="14"/>
        <v>198454.76735339727</v>
      </c>
      <c r="AV51" s="249">
        <f t="shared" si="7"/>
        <v>19845.476735339726</v>
      </c>
      <c r="AW51" s="249">
        <f t="shared" si="8"/>
        <v>715.92992085032154</v>
      </c>
      <c r="AX51" s="249">
        <f t="shared" si="15"/>
        <v>36082.684973344949</v>
      </c>
      <c r="AY51" s="249">
        <f t="shared" si="9"/>
        <v>3608.2684973344949</v>
      </c>
    </row>
    <row r="52" spans="7:51" hidden="1">
      <c r="H52" s="245" t="s">
        <v>459</v>
      </c>
      <c r="I52" s="261">
        <f>ROUND(I45*$I$49,0)</f>
        <v>2566</v>
      </c>
      <c r="J52" s="257">
        <f>ROUND(I52/$J$49,2)</f>
        <v>40.32</v>
      </c>
      <c r="K52" s="257">
        <f>ROUND(I52/$D$14,2)</f>
        <v>3.67</v>
      </c>
      <c r="O52" s="258"/>
      <c r="AH52" s="175"/>
      <c r="AJ52" s="239">
        <f t="shared" si="11"/>
        <v>8633.6497261531822</v>
      </c>
      <c r="AK52" s="239">
        <v>23</v>
      </c>
      <c r="AL52" s="249">
        <f t="shared" si="2"/>
        <v>474.85073493842503</v>
      </c>
      <c r="AM52" s="249">
        <f t="shared" si="12"/>
        <v>35804.259048208114</v>
      </c>
      <c r="AN52" s="249">
        <f t="shared" si="3"/>
        <v>3580.4259048208114</v>
      </c>
      <c r="AO52" s="249">
        <f t="shared" si="4"/>
        <v>86.336497261531818</v>
      </c>
      <c r="AP52" s="249">
        <f t="shared" si="13"/>
        <v>6509.8652814923871</v>
      </c>
      <c r="AQ52" s="249">
        <f t="shared" si="5"/>
        <v>650.98652814923867</v>
      </c>
      <c r="AS52" s="239">
        <v>23</v>
      </c>
      <c r="AT52" s="249">
        <f t="shared" si="6"/>
        <v>3701.3576907961619</v>
      </c>
      <c r="AU52" s="249">
        <f t="shared" si="14"/>
        <v>202156.12504419344</v>
      </c>
      <c r="AV52" s="249">
        <f t="shared" si="7"/>
        <v>20215.612504419343</v>
      </c>
      <c r="AW52" s="249">
        <f t="shared" si="8"/>
        <v>672.97412559930217</v>
      </c>
      <c r="AX52" s="249">
        <f t="shared" si="15"/>
        <v>36755.659098944248</v>
      </c>
      <c r="AY52" s="249">
        <f t="shared" si="9"/>
        <v>3675.5659098944247</v>
      </c>
    </row>
    <row r="53" spans="7:51" hidden="1">
      <c r="H53" s="245" t="s">
        <v>102</v>
      </c>
      <c r="I53" s="261">
        <f>ROUND(I46*$I$49,0)</f>
        <v>1465</v>
      </c>
      <c r="J53" s="257">
        <f>ROUND(I53/$J$49,2)</f>
        <v>23.02</v>
      </c>
      <c r="K53" s="257">
        <f>ROUND(I53/$D$14,2)</f>
        <v>2.09</v>
      </c>
      <c r="O53" s="258"/>
      <c r="AH53" s="175"/>
      <c r="AJ53" s="239">
        <f t="shared" si="11"/>
        <v>7942.9577480609287</v>
      </c>
      <c r="AK53" s="239">
        <v>24</v>
      </c>
      <c r="AL53" s="249">
        <f t="shared" si="2"/>
        <v>436.86267614335105</v>
      </c>
      <c r="AM53" s="249">
        <f t="shared" si="12"/>
        <v>36241.121724351462</v>
      </c>
      <c r="AN53" s="249">
        <f t="shared" si="3"/>
        <v>3624.112172435146</v>
      </c>
      <c r="AO53" s="249">
        <f t="shared" si="4"/>
        <v>79.429577480609282</v>
      </c>
      <c r="AP53" s="249">
        <f t="shared" si="13"/>
        <v>6589.2948589729967</v>
      </c>
      <c r="AQ53" s="249">
        <f t="shared" si="5"/>
        <v>658.92948589729963</v>
      </c>
      <c r="AS53" s="239">
        <v>24</v>
      </c>
      <c r="AT53" s="249">
        <f t="shared" si="6"/>
        <v>3479.2762293483925</v>
      </c>
      <c r="AU53" s="249">
        <f t="shared" si="14"/>
        <v>205635.40127354182</v>
      </c>
      <c r="AV53" s="249">
        <f t="shared" si="7"/>
        <v>20563.540127354183</v>
      </c>
      <c r="AW53" s="249">
        <f t="shared" si="8"/>
        <v>632.59567806334405</v>
      </c>
      <c r="AX53" s="249">
        <f t="shared" si="15"/>
        <v>37388.254777007591</v>
      </c>
      <c r="AY53" s="249">
        <f t="shared" si="9"/>
        <v>3738.8254777007592</v>
      </c>
    </row>
    <row r="54" spans="7:51" hidden="1">
      <c r="H54" s="245" t="s">
        <v>107</v>
      </c>
      <c r="I54" s="262">
        <f>SUM(I50:I53)</f>
        <v>16556</v>
      </c>
      <c r="J54" s="256">
        <f>SUM(J50:J53)</f>
        <v>260.17</v>
      </c>
      <c r="K54" s="256">
        <f>SUM(K50:K53)</f>
        <v>23.650000000000002</v>
      </c>
      <c r="N54" s="258"/>
      <c r="AH54" s="175"/>
      <c r="AJ54" s="239">
        <f t="shared" si="11"/>
        <v>7307.5211282160544</v>
      </c>
      <c r="AK54" s="239">
        <v>25</v>
      </c>
      <c r="AL54" s="249">
        <f t="shared" si="2"/>
        <v>401.91366205188302</v>
      </c>
      <c r="AM54" s="249">
        <f t="shared" si="12"/>
        <v>36643.035386403346</v>
      </c>
      <c r="AN54" s="249">
        <f t="shared" si="3"/>
        <v>3664.3035386403344</v>
      </c>
      <c r="AO54" s="249">
        <f t="shared" si="4"/>
        <v>73.075211282160552</v>
      </c>
      <c r="AP54" s="249">
        <f t="shared" si="13"/>
        <v>6662.3700702551569</v>
      </c>
      <c r="AQ54" s="249">
        <f t="shared" si="5"/>
        <v>666.23700702551571</v>
      </c>
      <c r="AS54" s="239">
        <v>25</v>
      </c>
      <c r="AT54" s="249">
        <f t="shared" si="6"/>
        <v>3270.5196555874886</v>
      </c>
      <c r="AU54" s="249">
        <f t="shared" si="14"/>
        <v>208905.92092912932</v>
      </c>
      <c r="AV54" s="249">
        <f t="shared" si="7"/>
        <v>20890.592092912932</v>
      </c>
      <c r="AW54" s="249">
        <f t="shared" si="8"/>
        <v>594.63993737954343</v>
      </c>
      <c r="AX54" s="249">
        <f t="shared" si="15"/>
        <v>37982.894714387134</v>
      </c>
      <c r="AY54" s="249">
        <f t="shared" si="9"/>
        <v>3798.2894714387135</v>
      </c>
    </row>
    <row r="55" spans="7:51" hidden="1">
      <c r="AH55" s="175"/>
      <c r="AJ55" s="239">
        <f t="shared" si="11"/>
        <v>6722.9194379587707</v>
      </c>
      <c r="AK55" s="239">
        <v>26</v>
      </c>
      <c r="AL55" s="249">
        <f t="shared" si="2"/>
        <v>369.76056908773239</v>
      </c>
      <c r="AM55" s="249">
        <f t="shared" si="12"/>
        <v>37012.795955491078</v>
      </c>
      <c r="AN55" s="249">
        <f t="shared" si="3"/>
        <v>3701.2795955491079</v>
      </c>
      <c r="AO55" s="249">
        <f t="shared" si="4"/>
        <v>67.22919437958771</v>
      </c>
      <c r="AP55" s="249">
        <f t="shared" si="13"/>
        <v>6729.5992646347449</v>
      </c>
      <c r="AQ55" s="249">
        <f t="shared" si="5"/>
        <v>672.95992646347452</v>
      </c>
      <c r="AS55" s="239">
        <v>26</v>
      </c>
      <c r="AT55" s="249">
        <f t="shared" si="6"/>
        <v>3074.2884762522394</v>
      </c>
      <c r="AU55" s="249">
        <f t="shared" si="14"/>
        <v>211980.20940538155</v>
      </c>
      <c r="AV55" s="249">
        <f t="shared" si="7"/>
        <v>21198.020940538154</v>
      </c>
      <c r="AW55" s="249">
        <f t="shared" si="8"/>
        <v>558.96154113677085</v>
      </c>
      <c r="AX55" s="249">
        <f t="shared" si="15"/>
        <v>38541.856255523904</v>
      </c>
      <c r="AY55" s="249">
        <f t="shared" si="9"/>
        <v>3854.1856255523903</v>
      </c>
    </row>
    <row r="56" spans="7:51" hidden="1">
      <c r="G56" s="245" t="s">
        <v>58</v>
      </c>
      <c r="I56" s="260">
        <f>(D15/D13)/((D14/D12)+(D15/D13))</f>
        <v>0.40740740740740744</v>
      </c>
      <c r="J56">
        <f>D15/D13</f>
        <v>43.75</v>
      </c>
      <c r="AH56" s="175"/>
      <c r="AJ56" s="239">
        <f t="shared" si="11"/>
        <v>6185.0858829220688</v>
      </c>
      <c r="AK56" s="239">
        <v>27</v>
      </c>
      <c r="AL56" s="249">
        <f t="shared" si="2"/>
        <v>340.1797235607138</v>
      </c>
      <c r="AM56" s="249">
        <f t="shared" si="12"/>
        <v>37352.975679051793</v>
      </c>
      <c r="AN56" s="249">
        <f t="shared" si="3"/>
        <v>3735.2975679051792</v>
      </c>
      <c r="AO56" s="249">
        <f t="shared" si="4"/>
        <v>61.850858829220691</v>
      </c>
      <c r="AP56" s="249">
        <f t="shared" si="13"/>
        <v>6791.4501234639656</v>
      </c>
      <c r="AQ56" s="249">
        <f t="shared" si="5"/>
        <v>679.14501234639658</v>
      </c>
      <c r="AS56" s="239">
        <v>27</v>
      </c>
      <c r="AT56" s="249">
        <f t="shared" si="6"/>
        <v>2889.831167677105</v>
      </c>
      <c r="AU56" s="249">
        <f t="shared" si="14"/>
        <v>214870.04057305865</v>
      </c>
      <c r="AV56" s="249">
        <f t="shared" si="7"/>
        <v>21487.004057305865</v>
      </c>
      <c r="AW56" s="249">
        <f t="shared" si="8"/>
        <v>525.42384866856457</v>
      </c>
      <c r="AX56" s="249">
        <f t="shared" si="15"/>
        <v>39067.280104192469</v>
      </c>
      <c r="AY56" s="249">
        <f t="shared" si="9"/>
        <v>3906.7280104192469</v>
      </c>
    </row>
    <row r="57" spans="7:51" hidden="1">
      <c r="H57" s="245" t="s">
        <v>457</v>
      </c>
      <c r="I57" s="261">
        <f>ROUND(I21*$I$56,0)</f>
        <v>3168</v>
      </c>
      <c r="J57" s="257">
        <f>ROUND(I57/$J$56,2)</f>
        <v>72.41</v>
      </c>
      <c r="K57" s="257">
        <f>ROUND(I57/$D$15,2)</f>
        <v>4.53</v>
      </c>
      <c r="AH57" s="175"/>
      <c r="AJ57" s="239">
        <f t="shared" si="11"/>
        <v>5690.2790122883034</v>
      </c>
      <c r="AK57" s="239">
        <v>28</v>
      </c>
      <c r="AL57" s="249">
        <f t="shared" si="2"/>
        <v>312.96534567585667</v>
      </c>
      <c r="AM57" s="249">
        <f t="shared" si="12"/>
        <v>37665.941024727646</v>
      </c>
      <c r="AN57" s="249">
        <f t="shared" si="3"/>
        <v>3766.5941024727645</v>
      </c>
      <c r="AO57" s="249">
        <f t="shared" si="4"/>
        <v>56.902790122883033</v>
      </c>
      <c r="AP57" s="249">
        <f t="shared" si="13"/>
        <v>6848.3529135868484</v>
      </c>
      <c r="AQ57" s="249">
        <f t="shared" si="5"/>
        <v>684.8352913586848</v>
      </c>
      <c r="AS57" s="239">
        <v>28</v>
      </c>
      <c r="AT57" s="249">
        <f t="shared" si="6"/>
        <v>2716.441297616479</v>
      </c>
      <c r="AU57" s="249">
        <f t="shared" si="14"/>
        <v>217586.48187067514</v>
      </c>
      <c r="AV57" s="249">
        <f t="shared" si="7"/>
        <v>21758.648187067512</v>
      </c>
      <c r="AW57" s="249">
        <f t="shared" si="8"/>
        <v>493.89841774845075</v>
      </c>
      <c r="AX57" s="249">
        <f t="shared" si="15"/>
        <v>39561.178521940921</v>
      </c>
      <c r="AY57" s="249">
        <f t="shared" si="9"/>
        <v>3956.1178521940919</v>
      </c>
    </row>
    <row r="58" spans="7:51" hidden="1">
      <c r="H58" s="245" t="s">
        <v>458</v>
      </c>
      <c r="I58" s="261">
        <f>ROUND(SUM($I$31:$I$34)*($D$19/$D$30)*$I$56,0)</f>
        <v>5444</v>
      </c>
      <c r="J58" s="257">
        <f>ROUND(I58/$J$56,2)</f>
        <v>124.43</v>
      </c>
      <c r="K58" s="257">
        <f>ROUND(I58/$D$15,2)</f>
        <v>7.78</v>
      </c>
      <c r="AH58" s="175"/>
      <c r="AJ58" s="239">
        <f t="shared" si="11"/>
        <v>5235.0566913052389</v>
      </c>
      <c r="AK58" s="239">
        <v>29</v>
      </c>
      <c r="AL58" s="249">
        <f t="shared" si="2"/>
        <v>287.92811802178812</v>
      </c>
      <c r="AM58" s="249">
        <f t="shared" si="12"/>
        <v>37953.869142749434</v>
      </c>
      <c r="AN58" s="249">
        <f t="shared" si="3"/>
        <v>3795.3869142749436</v>
      </c>
      <c r="AO58" s="249">
        <f t="shared" si="4"/>
        <v>52.35056691305239</v>
      </c>
      <c r="AP58" s="249">
        <f t="shared" si="13"/>
        <v>6900.7034804999012</v>
      </c>
      <c r="AQ58" s="249">
        <f t="shared" si="5"/>
        <v>690.07034804999012</v>
      </c>
      <c r="AS58" s="239">
        <v>29</v>
      </c>
      <c r="AT58" s="249">
        <f t="shared" si="6"/>
        <v>2553.4548197594895</v>
      </c>
      <c r="AU58" s="249">
        <f t="shared" si="14"/>
        <v>220139.93669043464</v>
      </c>
      <c r="AV58" s="249">
        <f t="shared" si="7"/>
        <v>22013.993669043462</v>
      </c>
      <c r="AW58" s="249">
        <f t="shared" si="8"/>
        <v>464.26451268354361</v>
      </c>
      <c r="AX58" s="249">
        <f t="shared" si="15"/>
        <v>40025.443034624463</v>
      </c>
      <c r="AY58" s="249">
        <f t="shared" si="9"/>
        <v>4002.5443034624464</v>
      </c>
    </row>
    <row r="59" spans="7:51" hidden="1">
      <c r="H59" s="245" t="s">
        <v>459</v>
      </c>
      <c r="I59" s="261">
        <f>ROUND(I45*$I$56,0)</f>
        <v>1764</v>
      </c>
      <c r="J59" s="257">
        <f>ROUND(I59/$J$56,2)</f>
        <v>40.32</v>
      </c>
      <c r="K59" s="257">
        <f>ROUND(I59/$D$15,2)</f>
        <v>2.52</v>
      </c>
      <c r="AH59" s="175"/>
      <c r="AJ59" s="239">
        <f t="shared" si="11"/>
        <v>4816.2521560008208</v>
      </c>
      <c r="AK59" s="239">
        <v>30</v>
      </c>
      <c r="AL59" s="249">
        <f t="shared" si="2"/>
        <v>264.89386858004514</v>
      </c>
      <c r="AM59" s="249">
        <f t="shared" si="12"/>
        <v>38218.76301132948</v>
      </c>
      <c r="AN59" s="249">
        <f t="shared" si="3"/>
        <v>3821.8763011329479</v>
      </c>
      <c r="AO59" s="249">
        <f t="shared" si="4"/>
        <v>48.162521560008209</v>
      </c>
      <c r="AP59" s="249">
        <f t="shared" si="13"/>
        <v>6948.8660020599091</v>
      </c>
      <c r="AQ59" s="249">
        <f t="shared" si="5"/>
        <v>694.88660020599093</v>
      </c>
      <c r="AS59" s="239">
        <v>30</v>
      </c>
      <c r="AT59" s="249">
        <f t="shared" si="6"/>
        <v>2400.2475305739208</v>
      </c>
      <c r="AU59" s="249">
        <f t="shared" si="14"/>
        <v>222540.18422100856</v>
      </c>
      <c r="AV59" s="249">
        <f t="shared" si="7"/>
        <v>22254.018422100857</v>
      </c>
      <c r="AW59" s="249">
        <f t="shared" si="8"/>
        <v>436.40864192253105</v>
      </c>
      <c r="AX59" s="249">
        <f t="shared" si="15"/>
        <v>40461.85167654699</v>
      </c>
      <c r="AY59" s="249">
        <f t="shared" si="9"/>
        <v>4046.1851676546989</v>
      </c>
    </row>
    <row r="60" spans="7:51" hidden="1">
      <c r="H60" s="245" t="s">
        <v>102</v>
      </c>
      <c r="I60" s="261">
        <f>ROUND(I46*$I$56,0)</f>
        <v>1007</v>
      </c>
      <c r="J60" s="257">
        <f>ROUND(I60/$J$56,2)</f>
        <v>23.02</v>
      </c>
      <c r="K60" s="257">
        <f>ROUND(I60/$D$15,2)</f>
        <v>1.44</v>
      </c>
      <c r="AH60" s="175"/>
      <c r="AJ60" s="239">
        <f t="shared" si="11"/>
        <v>4430.9519835207548</v>
      </c>
      <c r="AK60" s="239">
        <v>31</v>
      </c>
      <c r="AL60" s="249">
        <f t="shared" si="2"/>
        <v>243.70235909364152</v>
      </c>
      <c r="AM60" s="249">
        <f t="shared" si="12"/>
        <v>38462.465370423124</v>
      </c>
      <c r="AN60" s="249">
        <f t="shared" si="3"/>
        <v>3846.2465370423124</v>
      </c>
      <c r="AO60" s="249">
        <f t="shared" si="4"/>
        <v>44.309519835207546</v>
      </c>
      <c r="AP60" s="249">
        <f t="shared" si="13"/>
        <v>6993.1755218951166</v>
      </c>
      <c r="AQ60" s="249">
        <f t="shared" si="5"/>
        <v>699.31755218951162</v>
      </c>
      <c r="AS60" s="239">
        <v>31</v>
      </c>
      <c r="AT60" s="249">
        <f t="shared" si="6"/>
        <v>2256.2326787394854</v>
      </c>
      <c r="AU60" s="249">
        <f t="shared" si="14"/>
        <v>224796.41689974806</v>
      </c>
      <c r="AV60" s="249">
        <f t="shared" si="7"/>
        <v>22479.641689974807</v>
      </c>
      <c r="AW60" s="249">
        <f t="shared" si="8"/>
        <v>410.22412340717915</v>
      </c>
      <c r="AX60" s="249">
        <f t="shared" si="15"/>
        <v>40872.075799954167</v>
      </c>
      <c r="AY60" s="249">
        <f t="shared" si="9"/>
        <v>4087.2075799954168</v>
      </c>
    </row>
    <row r="61" spans="7:51" hidden="1">
      <c r="H61" s="245" t="s">
        <v>107</v>
      </c>
      <c r="I61" s="262">
        <f>SUM(I57:I60)</f>
        <v>11383</v>
      </c>
      <c r="J61" s="256">
        <f>SUM(J57:J60)</f>
        <v>260.18</v>
      </c>
      <c r="K61" s="256">
        <f>SUM(K57:K60)</f>
        <v>16.27</v>
      </c>
      <c r="N61" s="258"/>
      <c r="AH61" s="175"/>
      <c r="AJ61" s="239">
        <f t="shared" si="11"/>
        <v>4076.4758248390949</v>
      </c>
      <c r="AK61" s="239">
        <v>32</v>
      </c>
      <c r="AL61" s="249">
        <f t="shared" si="2"/>
        <v>224.20617036615022</v>
      </c>
      <c r="AM61" s="249">
        <f t="shared" si="12"/>
        <v>38686.671540789277</v>
      </c>
      <c r="AN61" s="249">
        <f t="shared" si="3"/>
        <v>3868.6671540789275</v>
      </c>
      <c r="AO61" s="249">
        <f t="shared" si="4"/>
        <v>40.764758248390947</v>
      </c>
      <c r="AP61" s="249">
        <f t="shared" si="13"/>
        <v>7033.9402801435072</v>
      </c>
      <c r="AQ61" s="249">
        <f t="shared" si="5"/>
        <v>703.39402801435074</v>
      </c>
      <c r="AS61" s="239">
        <v>32</v>
      </c>
      <c r="AT61" s="249">
        <f t="shared" si="6"/>
        <v>2120.8587180151162</v>
      </c>
      <c r="AU61" s="249">
        <f t="shared" si="14"/>
        <v>226917.27561776317</v>
      </c>
      <c r="AV61" s="249">
        <f t="shared" si="7"/>
        <v>22691.727561776315</v>
      </c>
      <c r="AW61" s="249">
        <f t="shared" si="8"/>
        <v>385.61067600274839</v>
      </c>
      <c r="AX61" s="249">
        <f t="shared" si="15"/>
        <v>41257.686475956914</v>
      </c>
      <c r="AY61" s="249">
        <f t="shared" si="9"/>
        <v>4125.7686475956916</v>
      </c>
    </row>
    <row r="62" spans="7:51">
      <c r="AH62" s="175"/>
      <c r="AJ62" s="239">
        <f t="shared" si="11"/>
        <v>3750.3577588519679</v>
      </c>
      <c r="AK62" s="239">
        <v>33</v>
      </c>
      <c r="AL62" s="249">
        <f t="shared" ref="AL62:AL79" si="17">$D$10*$AD$9*$AE$9^($D$11+AK62)*$D$41</f>
        <v>206.26967673685823</v>
      </c>
      <c r="AM62" s="249">
        <f t="shared" si="12"/>
        <v>38892.941217526139</v>
      </c>
      <c r="AN62" s="249">
        <f t="shared" si="3"/>
        <v>3889.294121752614</v>
      </c>
      <c r="AO62" s="249">
        <f t="shared" ref="AO62:AO79" si="18">$D$10*$AD$9*$AE$9^($D$11+AK62)*$D$42</f>
        <v>37.503577588519683</v>
      </c>
      <c r="AP62" s="249">
        <f t="shared" si="13"/>
        <v>7071.443857732027</v>
      </c>
      <c r="AQ62" s="249">
        <f t="shared" si="5"/>
        <v>707.14438577320266</v>
      </c>
      <c r="AS62" s="239">
        <v>33</v>
      </c>
      <c r="AT62" s="249">
        <f t="shared" ref="AT62:AT79" si="19">$D$27*$AD$8*$AE$8^($D$26+AS62)*$D$41</f>
        <v>1993.6071949342092</v>
      </c>
      <c r="AU62" s="249">
        <f t="shared" si="14"/>
        <v>228910.88281269738</v>
      </c>
      <c r="AV62" s="249">
        <f t="shared" si="7"/>
        <v>22891.088281269738</v>
      </c>
      <c r="AW62" s="249">
        <f t="shared" ref="AW62:AW79" si="20">$D$27*$AD$8*$AE$8^($D$26+AS62)*$D$42</f>
        <v>362.4740354425835</v>
      </c>
      <c r="AX62" s="249">
        <f t="shared" si="15"/>
        <v>41620.160511399496</v>
      </c>
      <c r="AY62" s="249">
        <f t="shared" si="9"/>
        <v>4162.0160511399499</v>
      </c>
    </row>
    <row r="63" spans="7:51">
      <c r="AH63" s="175"/>
      <c r="AJ63" s="239">
        <f t="shared" si="11"/>
        <v>3450.3291381438103</v>
      </c>
      <c r="AK63" s="239">
        <v>34</v>
      </c>
      <c r="AL63" s="249">
        <f t="shared" si="17"/>
        <v>189.76810259790958</v>
      </c>
      <c r="AM63" s="249">
        <f t="shared" si="12"/>
        <v>39082.70932012405</v>
      </c>
      <c r="AN63" s="249">
        <f t="shared" si="3"/>
        <v>3908.270932012405</v>
      </c>
      <c r="AO63" s="249">
        <f t="shared" si="18"/>
        <v>34.503291381438103</v>
      </c>
      <c r="AP63" s="249">
        <f t="shared" si="13"/>
        <v>7105.9471491134655</v>
      </c>
      <c r="AQ63" s="249">
        <f t="shared" si="5"/>
        <v>710.5947149113465</v>
      </c>
      <c r="AS63" s="239">
        <v>34</v>
      </c>
      <c r="AT63" s="249">
        <f t="shared" si="19"/>
        <v>1873.9907632381567</v>
      </c>
      <c r="AU63" s="249">
        <f t="shared" si="14"/>
        <v>230784.87357593555</v>
      </c>
      <c r="AV63" s="249">
        <f t="shared" si="7"/>
        <v>23078.487357593556</v>
      </c>
      <c r="AW63" s="249">
        <f t="shared" si="20"/>
        <v>340.72559331602849</v>
      </c>
      <c r="AX63" s="249">
        <f t="shared" si="15"/>
        <v>41960.886104715522</v>
      </c>
      <c r="AY63" s="249">
        <f t="shared" si="9"/>
        <v>4196.0886104715519</v>
      </c>
    </row>
    <row r="64" spans="7:51">
      <c r="AH64" s="175"/>
      <c r="AJ64" s="239">
        <f t="shared" si="11"/>
        <v>3174.3028070923056</v>
      </c>
      <c r="AK64" s="239">
        <v>35</v>
      </c>
      <c r="AL64" s="249">
        <f t="shared" si="17"/>
        <v>174.5866543900768</v>
      </c>
      <c r="AM64" s="249">
        <f t="shared" si="12"/>
        <v>39257.295974514127</v>
      </c>
      <c r="AN64" s="249">
        <f t="shared" si="3"/>
        <v>3925.7295974514127</v>
      </c>
      <c r="AO64" s="249">
        <f t="shared" si="18"/>
        <v>31.743028070923057</v>
      </c>
      <c r="AP64" s="249">
        <f t="shared" si="13"/>
        <v>7137.6901771843886</v>
      </c>
      <c r="AQ64" s="249">
        <f t="shared" si="5"/>
        <v>713.76901771843882</v>
      </c>
      <c r="AS64" s="239">
        <v>35</v>
      </c>
      <c r="AT64" s="249">
        <f t="shared" si="19"/>
        <v>1761.551317443867</v>
      </c>
      <c r="AU64" s="249">
        <f t="shared" si="14"/>
        <v>232546.42489337942</v>
      </c>
      <c r="AV64" s="249">
        <f t="shared" si="7"/>
        <v>23254.642489337941</v>
      </c>
      <c r="AW64" s="249">
        <f t="shared" si="20"/>
        <v>320.28205771706672</v>
      </c>
      <c r="AX64" s="249">
        <f t="shared" si="15"/>
        <v>42281.168162432587</v>
      </c>
      <c r="AY64" s="249">
        <f t="shared" si="9"/>
        <v>4228.1168162432587</v>
      </c>
    </row>
    <row r="65" spans="34:51">
      <c r="AH65" s="175"/>
      <c r="AJ65" s="239">
        <f t="shared" si="11"/>
        <v>2920.3585825249211</v>
      </c>
      <c r="AK65" s="239">
        <v>36</v>
      </c>
      <c r="AL65" s="249">
        <f t="shared" si="17"/>
        <v>160.61972203887066</v>
      </c>
      <c r="AM65" s="249">
        <f t="shared" si="12"/>
        <v>39417.915696552998</v>
      </c>
      <c r="AN65" s="249">
        <f t="shared" si="3"/>
        <v>3941.7915696553</v>
      </c>
      <c r="AO65" s="249">
        <f t="shared" si="18"/>
        <v>29.20358582524921</v>
      </c>
      <c r="AP65" s="249">
        <f t="shared" si="13"/>
        <v>7166.893763009638</v>
      </c>
      <c r="AQ65" s="249">
        <f t="shared" si="5"/>
        <v>716.68937630096377</v>
      </c>
      <c r="AS65" s="239">
        <v>36</v>
      </c>
      <c r="AT65" s="249">
        <f t="shared" si="19"/>
        <v>1655.858238397235</v>
      </c>
      <c r="AU65" s="249">
        <f t="shared" si="14"/>
        <v>234202.28313177664</v>
      </c>
      <c r="AV65" s="249">
        <f t="shared" si="7"/>
        <v>23420.228313177664</v>
      </c>
      <c r="AW65" s="249">
        <f t="shared" si="20"/>
        <v>301.06513425404273</v>
      </c>
      <c r="AX65" s="249">
        <f t="shared" si="15"/>
        <v>42582.233296686631</v>
      </c>
      <c r="AY65" s="249">
        <f t="shared" si="9"/>
        <v>4258.2233296686627</v>
      </c>
    </row>
    <row r="66" spans="34:51">
      <c r="AH66" s="175"/>
      <c r="AJ66" s="239">
        <f t="shared" si="11"/>
        <v>2686.7298959229279</v>
      </c>
      <c r="AK66" s="239">
        <v>37</v>
      </c>
      <c r="AL66" s="249">
        <f t="shared" si="17"/>
        <v>147.77014427576103</v>
      </c>
      <c r="AM66" s="249">
        <f t="shared" si="12"/>
        <v>39565.685840828759</v>
      </c>
      <c r="AN66" s="249">
        <f t="shared" si="3"/>
        <v>3956.568584082876</v>
      </c>
      <c r="AO66" s="249">
        <f t="shared" si="18"/>
        <v>26.867298959229281</v>
      </c>
      <c r="AP66" s="249">
        <f t="shared" si="13"/>
        <v>7193.7610619688676</v>
      </c>
      <c r="AQ66" s="249">
        <f t="shared" si="5"/>
        <v>719.37610619688678</v>
      </c>
      <c r="AS66" s="239">
        <v>37</v>
      </c>
      <c r="AT66" s="249">
        <f t="shared" si="19"/>
        <v>1556.506744093401</v>
      </c>
      <c r="AU66" s="249">
        <f t="shared" si="14"/>
        <v>235758.78987587005</v>
      </c>
      <c r="AV66" s="249">
        <f t="shared" si="7"/>
        <v>23575.878987587006</v>
      </c>
      <c r="AW66" s="249">
        <f t="shared" si="20"/>
        <v>283.00122619880017</v>
      </c>
      <c r="AX66" s="249">
        <f t="shared" si="15"/>
        <v>42865.234522885432</v>
      </c>
      <c r="AY66" s="249">
        <f t="shared" si="9"/>
        <v>4286.523452288543</v>
      </c>
    </row>
    <row r="67" spans="34:51">
      <c r="AH67" s="175"/>
      <c r="AJ67" s="239">
        <f t="shared" si="11"/>
        <v>2471.7915042490931</v>
      </c>
      <c r="AK67" s="239">
        <v>38</v>
      </c>
      <c r="AL67" s="249">
        <f t="shared" si="17"/>
        <v>135.94853273370012</v>
      </c>
      <c r="AM67" s="249">
        <f t="shared" si="12"/>
        <v>39701.634373562461</v>
      </c>
      <c r="AN67" s="249">
        <f t="shared" si="3"/>
        <v>3970.163437356246</v>
      </c>
      <c r="AO67" s="249">
        <f t="shared" si="18"/>
        <v>24.717915042490933</v>
      </c>
      <c r="AP67" s="249">
        <f t="shared" si="13"/>
        <v>7218.4789770113584</v>
      </c>
      <c r="AQ67" s="249">
        <f t="shared" si="5"/>
        <v>721.84789770113582</v>
      </c>
      <c r="AS67" s="239">
        <v>38</v>
      </c>
      <c r="AT67" s="249">
        <f t="shared" si="19"/>
        <v>1463.1163394477969</v>
      </c>
      <c r="AU67" s="249">
        <f t="shared" si="14"/>
        <v>237221.90621531784</v>
      </c>
      <c r="AV67" s="249">
        <f t="shared" si="7"/>
        <v>23722.190621531783</v>
      </c>
      <c r="AW67" s="249">
        <f t="shared" si="20"/>
        <v>266.02115262687215</v>
      </c>
      <c r="AX67" s="249">
        <f t="shared" si="15"/>
        <v>43131.255675512301</v>
      </c>
      <c r="AY67" s="249">
        <f t="shared" si="9"/>
        <v>4313.1255675512302</v>
      </c>
    </row>
    <row r="68" spans="34:51">
      <c r="AH68" s="175"/>
      <c r="AJ68" s="239">
        <f t="shared" si="11"/>
        <v>2274.0481839091663</v>
      </c>
      <c r="AK68" s="239">
        <v>39</v>
      </c>
      <c r="AL68" s="249">
        <f t="shared" si="17"/>
        <v>125.07265011500415</v>
      </c>
      <c r="AM68" s="249">
        <f t="shared" si="12"/>
        <v>39826.707023677467</v>
      </c>
      <c r="AN68" s="249">
        <f t="shared" si="3"/>
        <v>3982.6707023677468</v>
      </c>
      <c r="AO68" s="249">
        <f t="shared" si="18"/>
        <v>22.740481839091665</v>
      </c>
      <c r="AP68" s="249">
        <f t="shared" si="13"/>
        <v>7241.2194588504499</v>
      </c>
      <c r="AQ68" s="249">
        <f t="shared" si="5"/>
        <v>724.12194588504497</v>
      </c>
      <c r="AS68" s="239">
        <v>39</v>
      </c>
      <c r="AT68" s="249">
        <f t="shared" si="19"/>
        <v>1375.329359080929</v>
      </c>
      <c r="AU68" s="249">
        <f t="shared" si="14"/>
        <v>238597.23557439877</v>
      </c>
      <c r="AV68" s="249">
        <f t="shared" si="7"/>
        <v>23859.723557439876</v>
      </c>
      <c r="AW68" s="249">
        <f t="shared" si="20"/>
        <v>250.0598834692598</v>
      </c>
      <c r="AX68" s="249">
        <f t="shared" si="15"/>
        <v>43381.315558981558</v>
      </c>
      <c r="AY68" s="249">
        <f t="shared" si="9"/>
        <v>4338.131555898156</v>
      </c>
    </row>
    <row r="69" spans="34:51">
      <c r="AH69" s="175"/>
      <c r="AJ69" s="239">
        <f t="shared" si="11"/>
        <v>2092.1243291964329</v>
      </c>
      <c r="AK69" s="239">
        <v>40</v>
      </c>
      <c r="AL69" s="249">
        <f t="shared" si="17"/>
        <v>115.06683810580381</v>
      </c>
      <c r="AM69" s="249">
        <f t="shared" si="12"/>
        <v>39941.773861783273</v>
      </c>
      <c r="AN69" s="249">
        <f t="shared" si="3"/>
        <v>3994.1773861783272</v>
      </c>
      <c r="AO69" s="249">
        <f t="shared" si="18"/>
        <v>20.921243291964331</v>
      </c>
      <c r="AP69" s="249">
        <f t="shared" si="13"/>
        <v>7262.1407021424138</v>
      </c>
      <c r="AQ69" s="249">
        <f t="shared" si="5"/>
        <v>726.21407021424136</v>
      </c>
      <c r="AS69" s="239">
        <v>40</v>
      </c>
      <c r="AT69" s="249">
        <f t="shared" si="19"/>
        <v>1292.8095975360732</v>
      </c>
      <c r="AU69" s="249">
        <f t="shared" si="14"/>
        <v>239890.04517193485</v>
      </c>
      <c r="AV69" s="249">
        <f t="shared" si="7"/>
        <v>23989.004517193483</v>
      </c>
      <c r="AW69" s="249">
        <f t="shared" si="20"/>
        <v>235.05629046110423</v>
      </c>
      <c r="AX69" s="249">
        <f t="shared" si="15"/>
        <v>43616.371849442665</v>
      </c>
      <c r="AY69" s="249">
        <f t="shared" si="9"/>
        <v>4361.6371849442667</v>
      </c>
    </row>
    <row r="70" spans="34:51">
      <c r="AH70" s="175"/>
      <c r="AJ70" s="239">
        <f t="shared" si="11"/>
        <v>1924.7543828607186</v>
      </c>
      <c r="AK70" s="239">
        <v>41</v>
      </c>
      <c r="AL70" s="249">
        <f t="shared" si="17"/>
        <v>105.86149105733952</v>
      </c>
      <c r="AM70" s="249">
        <f t="shared" si="12"/>
        <v>40047.635352840611</v>
      </c>
      <c r="AN70" s="249">
        <f t="shared" si="3"/>
        <v>4004.7635352840612</v>
      </c>
      <c r="AO70" s="249">
        <f t="shared" si="18"/>
        <v>19.247543828607185</v>
      </c>
      <c r="AP70" s="249">
        <f t="shared" si="13"/>
        <v>7281.3882459710212</v>
      </c>
      <c r="AQ70" s="249">
        <f t="shared" si="5"/>
        <v>728.13882459710214</v>
      </c>
      <c r="AS70" s="239">
        <v>41</v>
      </c>
      <c r="AT70" s="249">
        <f t="shared" si="19"/>
        <v>1215.2410216839087</v>
      </c>
      <c r="AU70" s="249">
        <f t="shared" si="14"/>
        <v>241105.28619361875</v>
      </c>
      <c r="AV70" s="249">
        <f t="shared" si="7"/>
        <v>24110.528619361874</v>
      </c>
      <c r="AW70" s="249">
        <f t="shared" si="20"/>
        <v>220.95291303343794</v>
      </c>
      <c r="AX70" s="249">
        <f t="shared" si="15"/>
        <v>43837.324762476106</v>
      </c>
      <c r="AY70" s="249">
        <f t="shared" si="9"/>
        <v>4383.732476247611</v>
      </c>
    </row>
    <row r="71" spans="34:51">
      <c r="AH71" s="175"/>
      <c r="AJ71" s="239">
        <f t="shared" si="11"/>
        <v>1770.7740322318609</v>
      </c>
      <c r="AK71" s="239">
        <v>42</v>
      </c>
      <c r="AL71" s="249">
        <f t="shared" si="17"/>
        <v>97.392571772752348</v>
      </c>
      <c r="AM71" s="249">
        <f t="shared" si="12"/>
        <v>40145.027924613365</v>
      </c>
      <c r="AN71" s="249">
        <f t="shared" si="3"/>
        <v>4014.5027924613364</v>
      </c>
      <c r="AO71" s="249">
        <f t="shared" si="18"/>
        <v>17.70774032231861</v>
      </c>
      <c r="AP71" s="249">
        <f t="shared" si="13"/>
        <v>7299.0959862933396</v>
      </c>
      <c r="AQ71" s="249">
        <f t="shared" si="5"/>
        <v>729.90959862933391</v>
      </c>
      <c r="AS71" s="239">
        <v>42</v>
      </c>
      <c r="AT71" s="249">
        <f t="shared" si="19"/>
        <v>1142.3265603828743</v>
      </c>
      <c r="AU71" s="249">
        <f t="shared" si="14"/>
        <v>242247.61275400163</v>
      </c>
      <c r="AV71" s="249">
        <f t="shared" si="7"/>
        <v>24224.761275400164</v>
      </c>
      <c r="AW71" s="249">
        <f t="shared" si="20"/>
        <v>207.69573825143169</v>
      </c>
      <c r="AX71" s="249">
        <f t="shared" si="15"/>
        <v>44045.020500727536</v>
      </c>
      <c r="AY71" s="249">
        <f t="shared" si="9"/>
        <v>4404.5020500727533</v>
      </c>
    </row>
    <row r="72" spans="34:51">
      <c r="AH72" s="175"/>
      <c r="AJ72" s="239">
        <f t="shared" si="11"/>
        <v>1629.112109653312</v>
      </c>
      <c r="AK72" s="239">
        <v>43</v>
      </c>
      <c r="AL72" s="249">
        <f t="shared" si="17"/>
        <v>89.601166030932163</v>
      </c>
      <c r="AM72" s="249">
        <f t="shared" si="12"/>
        <v>40234.629090644296</v>
      </c>
      <c r="AN72" s="249">
        <f t="shared" si="3"/>
        <v>4023.4629090644294</v>
      </c>
      <c r="AO72" s="249">
        <f t="shared" si="18"/>
        <v>16.291121096533121</v>
      </c>
      <c r="AP72" s="249">
        <f t="shared" si="13"/>
        <v>7315.3871073898727</v>
      </c>
      <c r="AQ72" s="249">
        <f t="shared" si="5"/>
        <v>731.53871073898722</v>
      </c>
      <c r="AS72" s="239">
        <v>43</v>
      </c>
      <c r="AT72" s="249">
        <f t="shared" si="19"/>
        <v>1073.7869667599018</v>
      </c>
      <c r="AU72" s="249">
        <f t="shared" si="14"/>
        <v>243321.39972076155</v>
      </c>
      <c r="AV72" s="249">
        <f t="shared" si="7"/>
        <v>24332.139972076155</v>
      </c>
      <c r="AW72" s="249">
        <f t="shared" si="20"/>
        <v>195.23399395634581</v>
      </c>
      <c r="AX72" s="249">
        <f t="shared" si="15"/>
        <v>44240.254494683883</v>
      </c>
      <c r="AY72" s="249">
        <f t="shared" si="9"/>
        <v>4424.0254494683886</v>
      </c>
    </row>
    <row r="73" spans="34:51">
      <c r="AH73" s="175"/>
      <c r="AJ73" s="239">
        <f t="shared" si="11"/>
        <v>1498.7831408810471</v>
      </c>
      <c r="AK73" s="239">
        <v>44</v>
      </c>
      <c r="AL73" s="249">
        <f t="shared" si="17"/>
        <v>82.43307274845759</v>
      </c>
      <c r="AM73" s="249">
        <f t="shared" si="12"/>
        <v>40317.062163392751</v>
      </c>
      <c r="AN73" s="249">
        <f t="shared" si="3"/>
        <v>4031.7062163392752</v>
      </c>
      <c r="AO73" s="249">
        <f t="shared" si="18"/>
        <v>14.987831408810472</v>
      </c>
      <c r="AP73" s="249">
        <f t="shared" si="13"/>
        <v>7330.3749387986827</v>
      </c>
      <c r="AQ73" s="249">
        <f t="shared" si="5"/>
        <v>733.03749387986829</v>
      </c>
      <c r="AS73" s="239">
        <v>44</v>
      </c>
      <c r="AT73" s="249">
        <f t="shared" si="19"/>
        <v>1009.3597487543077</v>
      </c>
      <c r="AU73" s="249">
        <f t="shared" si="14"/>
        <v>244330.75946951585</v>
      </c>
      <c r="AV73" s="249">
        <f t="shared" si="7"/>
        <v>24433.075946951583</v>
      </c>
      <c r="AW73" s="249">
        <f t="shared" si="20"/>
        <v>183.51995431896503</v>
      </c>
      <c r="AX73" s="249">
        <f t="shared" si="15"/>
        <v>44423.774449002849</v>
      </c>
      <c r="AY73" s="249">
        <f t="shared" si="9"/>
        <v>4442.3774449002849</v>
      </c>
    </row>
    <row r="74" spans="34:51">
      <c r="AH74" s="175"/>
      <c r="AJ74" s="239">
        <f t="shared" si="11"/>
        <v>1378.8804896105635</v>
      </c>
      <c r="AK74" s="239">
        <v>45</v>
      </c>
      <c r="AL74" s="249">
        <f t="shared" si="17"/>
        <v>75.838426928580986</v>
      </c>
      <c r="AM74" s="249">
        <f t="shared" si="12"/>
        <v>40392.900590321333</v>
      </c>
      <c r="AN74" s="249">
        <f t="shared" si="3"/>
        <v>4039.2900590321333</v>
      </c>
      <c r="AO74" s="249">
        <f t="shared" si="18"/>
        <v>13.788804896105635</v>
      </c>
      <c r="AP74" s="249">
        <f t="shared" si="13"/>
        <v>7344.1637436947885</v>
      </c>
      <c r="AQ74" s="249">
        <f t="shared" si="5"/>
        <v>734.41637436947883</v>
      </c>
      <c r="AS74" s="239">
        <v>45</v>
      </c>
      <c r="AT74" s="249">
        <f t="shared" si="19"/>
        <v>948.79816382904914</v>
      </c>
      <c r="AU74" s="249">
        <f t="shared" si="14"/>
        <v>245279.5576333449</v>
      </c>
      <c r="AV74" s="249">
        <f t="shared" si="7"/>
        <v>24527.955763334488</v>
      </c>
      <c r="AW74" s="249">
        <f t="shared" si="20"/>
        <v>172.5087570598271</v>
      </c>
      <c r="AX74" s="249">
        <f t="shared" si="15"/>
        <v>44596.283206062675</v>
      </c>
      <c r="AY74" s="249">
        <f t="shared" si="9"/>
        <v>4459.6283206062672</v>
      </c>
    </row>
    <row r="75" spans="34:51">
      <c r="AH75" s="175"/>
      <c r="AJ75" s="239">
        <f t="shared" si="11"/>
        <v>1268.5700504417184</v>
      </c>
      <c r="AK75" s="239">
        <v>46</v>
      </c>
      <c r="AL75" s="249">
        <f t="shared" si="17"/>
        <v>69.771352774294513</v>
      </c>
      <c r="AM75" s="249">
        <f t="shared" si="12"/>
        <v>40462.671943095629</v>
      </c>
      <c r="AN75" s="249">
        <f t="shared" si="3"/>
        <v>4046.2671943095629</v>
      </c>
      <c r="AO75" s="249">
        <f t="shared" si="18"/>
        <v>12.685700504417184</v>
      </c>
      <c r="AP75" s="249">
        <f t="shared" si="13"/>
        <v>7356.8494441992061</v>
      </c>
      <c r="AQ75" s="249">
        <f t="shared" si="5"/>
        <v>735.68494441992061</v>
      </c>
      <c r="AS75" s="239">
        <v>46</v>
      </c>
      <c r="AT75" s="249">
        <f t="shared" si="19"/>
        <v>891.87027399930628</v>
      </c>
      <c r="AU75" s="249">
        <f t="shared" si="14"/>
        <v>246171.42790734422</v>
      </c>
      <c r="AV75" s="249">
        <f t="shared" si="7"/>
        <v>24617.142790734422</v>
      </c>
      <c r="AW75" s="249">
        <f t="shared" si="20"/>
        <v>162.1582316362375</v>
      </c>
      <c r="AX75" s="249">
        <f t="shared" si="15"/>
        <v>44758.441437698915</v>
      </c>
      <c r="AY75" s="249">
        <f t="shared" si="9"/>
        <v>4475.8441437698912</v>
      </c>
    </row>
    <row r="76" spans="34:51">
      <c r="AH76" s="175"/>
      <c r="AJ76" s="239">
        <f t="shared" si="11"/>
        <v>1167.0844464063809</v>
      </c>
      <c r="AK76" s="239">
        <v>47</v>
      </c>
      <c r="AL76" s="249">
        <f t="shared" si="17"/>
        <v>64.189644552350956</v>
      </c>
      <c r="AM76" s="249">
        <f t="shared" si="12"/>
        <v>40526.861587647982</v>
      </c>
      <c r="AN76" s="249">
        <f t="shared" si="3"/>
        <v>4052.6861587647982</v>
      </c>
      <c r="AO76" s="249">
        <f t="shared" si="18"/>
        <v>11.67084446406381</v>
      </c>
      <c r="AP76" s="249">
        <f t="shared" si="13"/>
        <v>7368.5202886632696</v>
      </c>
      <c r="AQ76" s="249">
        <f t="shared" si="5"/>
        <v>736.85202886632692</v>
      </c>
      <c r="AS76" s="239">
        <v>47</v>
      </c>
      <c r="AT76" s="249">
        <f t="shared" si="19"/>
        <v>838.3580575593478</v>
      </c>
      <c r="AU76" s="249">
        <f t="shared" si="14"/>
        <v>247009.78596490357</v>
      </c>
      <c r="AV76" s="249">
        <f t="shared" si="7"/>
        <v>24700.978596490357</v>
      </c>
      <c r="AW76" s="249">
        <f t="shared" si="20"/>
        <v>152.42873773806323</v>
      </c>
      <c r="AX76" s="249">
        <f t="shared" si="15"/>
        <v>44910.870175436976</v>
      </c>
      <c r="AY76" s="249">
        <f t="shared" si="9"/>
        <v>4491.0870175436976</v>
      </c>
    </row>
    <row r="77" spans="34:51">
      <c r="AH77" s="175"/>
      <c r="AJ77" s="239">
        <f t="shared" si="11"/>
        <v>1073.7176906938705</v>
      </c>
      <c r="AK77" s="239">
        <v>48</v>
      </c>
      <c r="AL77" s="249">
        <f t="shared" si="17"/>
        <v>59.054472988162878</v>
      </c>
      <c r="AM77" s="249">
        <f t="shared" si="12"/>
        <v>40585.916060636147</v>
      </c>
      <c r="AN77" s="249">
        <f t="shared" si="3"/>
        <v>4058.5916060636146</v>
      </c>
      <c r="AO77" s="249">
        <f t="shared" si="18"/>
        <v>10.737176906938705</v>
      </c>
      <c r="AP77" s="249">
        <f t="shared" si="13"/>
        <v>7379.2574655702083</v>
      </c>
      <c r="AQ77" s="249">
        <f t="shared" si="5"/>
        <v>737.92574655702083</v>
      </c>
      <c r="AS77" s="239">
        <v>48</v>
      </c>
      <c r="AT77" s="249">
        <f t="shared" si="19"/>
        <v>788.05657410578692</v>
      </c>
      <c r="AU77" s="249">
        <f t="shared" si="14"/>
        <v>247797.84253900935</v>
      </c>
      <c r="AV77" s="249">
        <f t="shared" si="7"/>
        <v>24779.784253900936</v>
      </c>
      <c r="AW77" s="249">
        <f t="shared" si="20"/>
        <v>143.28301347377945</v>
      </c>
      <c r="AX77" s="249">
        <f t="shared" si="15"/>
        <v>45054.153188910757</v>
      </c>
      <c r="AY77" s="249">
        <f t="shared" si="9"/>
        <v>4505.4153188910759</v>
      </c>
    </row>
    <row r="78" spans="34:51">
      <c r="AH78" s="175"/>
      <c r="AJ78" s="239">
        <f t="shared" si="11"/>
        <v>987.82027543836091</v>
      </c>
      <c r="AK78" s="239">
        <v>49</v>
      </c>
      <c r="AL78" s="249">
        <f t="shared" si="17"/>
        <v>54.330115149109851</v>
      </c>
      <c r="AM78" s="249">
        <f t="shared" si="12"/>
        <v>40640.246175785258</v>
      </c>
      <c r="AN78" s="249">
        <f t="shared" si="3"/>
        <v>4064.024617578526</v>
      </c>
      <c r="AO78" s="249">
        <f t="shared" si="18"/>
        <v>9.8782027543836097</v>
      </c>
      <c r="AP78" s="249">
        <f t="shared" si="13"/>
        <v>7389.1356683245922</v>
      </c>
      <c r="AQ78" s="249">
        <f t="shared" si="5"/>
        <v>738.9135668324592</v>
      </c>
      <c r="AS78" s="239">
        <v>49</v>
      </c>
      <c r="AT78" s="249">
        <f t="shared" si="19"/>
        <v>740.77317965943973</v>
      </c>
      <c r="AU78" s="249">
        <f t="shared" si="14"/>
        <v>248538.61571866879</v>
      </c>
      <c r="AV78" s="249">
        <f t="shared" si="7"/>
        <v>24853.861571866881</v>
      </c>
      <c r="AW78" s="249">
        <f t="shared" si="20"/>
        <v>134.68603266535268</v>
      </c>
      <c r="AX78" s="249">
        <f t="shared" si="15"/>
        <v>45188.839221576112</v>
      </c>
      <c r="AY78" s="249">
        <f t="shared" si="9"/>
        <v>4518.8839221576109</v>
      </c>
    </row>
    <row r="79" spans="34:51">
      <c r="AH79" s="175"/>
      <c r="AJ79" s="239">
        <f t="shared" si="11"/>
        <v>908.79465340329205</v>
      </c>
      <c r="AK79" s="239">
        <v>50</v>
      </c>
      <c r="AL79" s="249">
        <f t="shared" si="17"/>
        <v>49.983705937181064</v>
      </c>
      <c r="AM79" s="249">
        <f t="shared" si="12"/>
        <v>40690.229881722436</v>
      </c>
      <c r="AN79" s="249">
        <f t="shared" si="3"/>
        <v>4069.0229881722435</v>
      </c>
      <c r="AO79" s="249">
        <f t="shared" si="18"/>
        <v>9.0879465340329215</v>
      </c>
      <c r="AP79" s="249">
        <f t="shared" si="13"/>
        <v>7398.2236148586253</v>
      </c>
      <c r="AQ79" s="249">
        <f t="shared" si="5"/>
        <v>739.82236148586253</v>
      </c>
      <c r="AS79" s="239">
        <v>50</v>
      </c>
      <c r="AT79" s="249">
        <f t="shared" si="19"/>
        <v>696.32678887987333</v>
      </c>
      <c r="AU79" s="249">
        <f t="shared" si="14"/>
        <v>249234.94250754867</v>
      </c>
      <c r="AV79" s="249">
        <f t="shared" si="7"/>
        <v>24923.494250754866</v>
      </c>
      <c r="AW79" s="249">
        <f t="shared" si="20"/>
        <v>126.60487070543151</v>
      </c>
      <c r="AX79" s="249">
        <f t="shared" si="15"/>
        <v>45315.444092281541</v>
      </c>
      <c r="AY79" s="249">
        <f t="shared" si="9"/>
        <v>4531.5444092281541</v>
      </c>
    </row>
    <row r="80" spans="34:51">
      <c r="AH80" s="175"/>
    </row>
    <row r="81" spans="34:34">
      <c r="AH81" s="175"/>
    </row>
    <row r="82" spans="34:34">
      <c r="AH82" s="175"/>
    </row>
    <row r="83" spans="34:34">
      <c r="AH83" s="175"/>
    </row>
    <row r="84" spans="34:34">
      <c r="AH84" s="175"/>
    </row>
    <row r="85" spans="34:34">
      <c r="AH85" s="175"/>
    </row>
    <row r="86" spans="34:34">
      <c r="AH86" s="175"/>
    </row>
    <row r="87" spans="34:34">
      <c r="AH87" s="175"/>
    </row>
    <row r="88" spans="34:34">
      <c r="AH88" s="175"/>
    </row>
    <row r="89" spans="34:34">
      <c r="AH89" s="175"/>
    </row>
    <row r="90" spans="34:34">
      <c r="AH90" s="175"/>
    </row>
    <row r="91" spans="34:34">
      <c r="AH91" s="175"/>
    </row>
    <row r="92" spans="34:34">
      <c r="AH92" s="175"/>
    </row>
    <row r="93" spans="34:34">
      <c r="AH93" s="175"/>
    </row>
    <row r="94" spans="34:34">
      <c r="AH94" s="175"/>
    </row>
    <row r="95" spans="34:34">
      <c r="AH95" s="175"/>
    </row>
    <row r="96" spans="34:34">
      <c r="AH96" s="175"/>
    </row>
    <row r="97" spans="34:34">
      <c r="AH97" s="175"/>
    </row>
    <row r="98" spans="34:34">
      <c r="AH98" s="175"/>
    </row>
    <row r="99" spans="34:34">
      <c r="AH99" s="175"/>
    </row>
    <row r="100" spans="34:34">
      <c r="AH100" s="175"/>
    </row>
    <row r="101" spans="34:34">
      <c r="AH101" s="175"/>
    </row>
    <row r="102" spans="34:34">
      <c r="AH102" s="175"/>
    </row>
    <row r="103" spans="34:34">
      <c r="AH103" s="175"/>
    </row>
    <row r="104" spans="34:34">
      <c r="AH104" s="175"/>
    </row>
    <row r="105" spans="34:34">
      <c r="AH105" s="175"/>
    </row>
    <row r="106" spans="34:34">
      <c r="AH106" s="175"/>
    </row>
    <row r="107" spans="34:34">
      <c r="AH107" s="175"/>
    </row>
    <row r="108" spans="34:34">
      <c r="AH108" s="175"/>
    </row>
    <row r="109" spans="34:34">
      <c r="AH109" s="175"/>
    </row>
    <row r="110" spans="34:34">
      <c r="AH110" s="175"/>
    </row>
    <row r="111" spans="34:34">
      <c r="AH111" s="175"/>
    </row>
    <row r="112" spans="34:34">
      <c r="AH112" s="175"/>
    </row>
    <row r="113" spans="34:34">
      <c r="AH113" s="175"/>
    </row>
    <row r="114" spans="34:34">
      <c r="AH114" s="245"/>
    </row>
    <row r="115" spans="34:34">
      <c r="AH115" s="245"/>
    </row>
    <row r="116" spans="34:34">
      <c r="AH116" s="245"/>
    </row>
    <row r="117" spans="34:34">
      <c r="AH117" s="245"/>
    </row>
    <row r="118" spans="34:34">
      <c r="AH118" s="245"/>
    </row>
    <row r="119" spans="34:34">
      <c r="AH119" s="245"/>
    </row>
    <row r="120" spans="34:34">
      <c r="AH120" s="245"/>
    </row>
    <row r="121" spans="34:34">
      <c r="AH121" s="245"/>
    </row>
    <row r="122" spans="34:34">
      <c r="AH122" s="245"/>
    </row>
    <row r="123" spans="34:34">
      <c r="AH123" s="245"/>
    </row>
    <row r="124" spans="34:34">
      <c r="AH124" s="245"/>
    </row>
    <row r="125" spans="34:34">
      <c r="AH125" s="245"/>
    </row>
    <row r="126" spans="34:34">
      <c r="AH126" s="245"/>
    </row>
    <row r="127" spans="34:34">
      <c r="AH127" s="245"/>
    </row>
    <row r="128" spans="34:34">
      <c r="AH128" s="245"/>
    </row>
    <row r="129" spans="34:34">
      <c r="AH129" s="245"/>
    </row>
    <row r="130" spans="34:34">
      <c r="AH130" s="245"/>
    </row>
    <row r="131" spans="34:34">
      <c r="AH131" s="245"/>
    </row>
    <row r="132" spans="34:34">
      <c r="AH132" s="245"/>
    </row>
    <row r="133" spans="34:34">
      <c r="AH133" s="245"/>
    </row>
    <row r="134" spans="34:34">
      <c r="AH134" s="245"/>
    </row>
    <row r="135" spans="34:34">
      <c r="AH135" s="245"/>
    </row>
    <row r="136" spans="34:34">
      <c r="AH136" s="245"/>
    </row>
    <row r="137" spans="34:34">
      <c r="AH137" s="245"/>
    </row>
    <row r="138" spans="34:34">
      <c r="AH138" s="245"/>
    </row>
    <row r="139" spans="34:34">
      <c r="AH139" s="245"/>
    </row>
    <row r="140" spans="34:34">
      <c r="AH140" s="245"/>
    </row>
    <row r="141" spans="34:34">
      <c r="AH141" s="245"/>
    </row>
    <row r="142" spans="34:34">
      <c r="AH142" s="245"/>
    </row>
    <row r="143" spans="34:34">
      <c r="AH143" s="245"/>
    </row>
    <row r="144" spans="34:34">
      <c r="AH144" s="245"/>
    </row>
    <row r="145" spans="34:34">
      <c r="AH145" s="245"/>
    </row>
    <row r="146" spans="34:34">
      <c r="AH146" s="245"/>
    </row>
    <row r="147" spans="34:34">
      <c r="AH147" s="245"/>
    </row>
    <row r="148" spans="34:34">
      <c r="AH148" s="245"/>
    </row>
    <row r="149" spans="34:34">
      <c r="AH149" s="245"/>
    </row>
    <row r="150" spans="34:34">
      <c r="AH150" s="245"/>
    </row>
    <row r="151" spans="34:34">
      <c r="AH151" s="245"/>
    </row>
    <row r="152" spans="34:34">
      <c r="AH152" s="245"/>
    </row>
    <row r="153" spans="34:34">
      <c r="AH153" s="245"/>
    </row>
    <row r="154" spans="34:34">
      <c r="AH154" s="245"/>
    </row>
    <row r="155" spans="34:34">
      <c r="AH155" s="245"/>
    </row>
    <row r="156" spans="34:34">
      <c r="AH156" s="245"/>
    </row>
    <row r="157" spans="34:34">
      <c r="AH157" s="245"/>
    </row>
    <row r="158" spans="34:34">
      <c r="AH158" s="245"/>
    </row>
    <row r="159" spans="34:34">
      <c r="AH159" s="245"/>
    </row>
    <row r="160" spans="34:34">
      <c r="AH160" s="245"/>
    </row>
    <row r="161" spans="34:34">
      <c r="AH161" s="245"/>
    </row>
    <row r="162" spans="34:34">
      <c r="AH162" s="245"/>
    </row>
    <row r="163" spans="34:34">
      <c r="AH163" s="245"/>
    </row>
    <row r="164" spans="34:34">
      <c r="AH164" s="245"/>
    </row>
    <row r="165" spans="34:34">
      <c r="AH165" s="245"/>
    </row>
    <row r="166" spans="34:34">
      <c r="AH166" s="245"/>
    </row>
  </sheetData>
  <sheetProtection algorithmName="SHA-512" hashValue="zpcXV+OJVQeIdmPfUdfdknlwnad2t0tktKXY7Y12BgD00WQAQWeKkoo8yzRA7Zmz0v7Oih/ATfp4ktpCr3GchQ==" saltValue="c7NdDwUC1hqgcuPOLRJvIg==" spinCount="100000" sheet="1" objects="1" scenarios="1"/>
  <mergeCells count="13">
    <mergeCell ref="X6:Y6"/>
    <mergeCell ref="AL28:AN28"/>
    <mergeCell ref="AO28:AQ28"/>
    <mergeCell ref="AT28:AV28"/>
    <mergeCell ref="AW28:AY28"/>
    <mergeCell ref="D8:K8"/>
    <mergeCell ref="S27:T27"/>
    <mergeCell ref="V27:W27"/>
    <mergeCell ref="P6:Q6"/>
    <mergeCell ref="R6:S6"/>
    <mergeCell ref="T6:U6"/>
    <mergeCell ref="V6:W6"/>
    <mergeCell ref="D25:E25"/>
  </mergeCells>
  <dataValidations count="2">
    <dataValidation type="list" allowBlank="1" showInputMessage="1" showErrorMessage="1" sqref="D8:K8" xr:uid="{7DDBA877-8690-4DDC-B2D9-0A4AD2B81C20}">
      <formula1>$O$29:$O$31</formula1>
    </dataValidation>
    <dataValidation type="list" allowBlank="1" showInputMessage="1" showErrorMessage="1" sqref="D25:E25" xr:uid="{0CE3CF68-AA05-4E41-8DF3-A80E4C5D6201}">
      <formula1>$AD$29:$AD$46</formula1>
    </dataValidation>
  </dataValidations>
  <pageMargins left="0.75" right="0.75" top="1" bottom="1" header="0.5" footer="0.5"/>
  <pageSetup orientation="portrait" horizontalDpi="300" verticalDpi="300" r:id="rId1"/>
  <headerFooter alignWithMargins="0"/>
  <drawing r:id="rId2"/>
  <legacyDrawing r:id="rId3"/>
  <controls>
    <mc:AlternateContent xmlns:mc="http://schemas.openxmlformats.org/markup-compatibility/2006">
      <mc:Choice Requires="x14">
        <control shapeId="12294" r:id="rId4" name="CommandButton6">
          <controlPr defaultSize="0" autoLine="0" r:id="rId5">
            <anchor moveWithCells="1">
              <from>
                <xdr:col>9</xdr:col>
                <xdr:colOff>311150</xdr:colOff>
                <xdr:row>2</xdr:row>
                <xdr:rowOff>6350</xdr:rowOff>
              </from>
              <to>
                <xdr:col>11</xdr:col>
                <xdr:colOff>50800</xdr:colOff>
                <xdr:row>3</xdr:row>
                <xdr:rowOff>95250</xdr:rowOff>
              </to>
            </anchor>
          </controlPr>
        </control>
      </mc:Choice>
      <mc:Fallback>
        <control shapeId="12294" r:id="rId4" name="CommandButton6"/>
      </mc:Fallback>
    </mc:AlternateContent>
    <mc:AlternateContent xmlns:mc="http://schemas.openxmlformats.org/markup-compatibility/2006">
      <mc:Choice Requires="x14">
        <control shapeId="12293" r:id="rId6" name="CommandButton5">
          <controlPr defaultSize="0" autoLine="0" r:id="rId7">
            <anchor moveWithCells="1">
              <from>
                <xdr:col>8</xdr:col>
                <xdr:colOff>19050</xdr:colOff>
                <xdr:row>2</xdr:row>
                <xdr:rowOff>6350</xdr:rowOff>
              </from>
              <to>
                <xdr:col>9</xdr:col>
                <xdr:colOff>254000</xdr:colOff>
                <xdr:row>3</xdr:row>
                <xdr:rowOff>95250</xdr:rowOff>
              </to>
            </anchor>
          </controlPr>
        </control>
      </mc:Choice>
      <mc:Fallback>
        <control shapeId="12293" r:id="rId6" name="CommandButton5"/>
      </mc:Fallback>
    </mc:AlternateContent>
    <mc:AlternateContent xmlns:mc="http://schemas.openxmlformats.org/markup-compatibility/2006">
      <mc:Choice Requires="x14">
        <control shapeId="12296" r:id="rId8" name="Button 8">
          <controlPr defaultSize="0" print="0" autoFill="0" autoPict="0" macro="[0]!Sheet6.GCimp_default_prices">
            <anchor moveWithCells="1" sizeWithCells="1">
              <from>
                <xdr:col>1</xdr:col>
                <xdr:colOff>38100</xdr:colOff>
                <xdr:row>20</xdr:row>
                <xdr:rowOff>0</xdr:rowOff>
              </from>
              <to>
                <xdr:col>3</xdr:col>
                <xdr:colOff>0</xdr:colOff>
                <xdr:row>22</xdr:row>
                <xdr:rowOff>0</xdr:rowOff>
              </to>
            </anchor>
          </controlPr>
        </control>
      </mc:Choice>
    </mc:AlternateContent>
    <mc:AlternateContent xmlns:mc="http://schemas.openxmlformats.org/markup-compatibility/2006">
      <mc:Choice Requires="x14">
        <control shapeId="12298" r:id="rId9" name="Button 10">
          <controlPr defaultSize="0" print="0" autoFill="0" autoPict="0" macro="[0]!Sheet6.GCimp_inter">
            <anchor moveWithCells="1" sizeWithCells="1">
              <from>
                <xdr:col>10</xdr:col>
                <xdr:colOff>0</xdr:colOff>
                <xdr:row>9</xdr:row>
                <xdr:rowOff>0</xdr:rowOff>
              </from>
              <to>
                <xdr:col>12</xdr:col>
                <xdr:colOff>0</xdr:colOff>
                <xdr:row>12</xdr:row>
                <xdr:rowOff>0</xdr:rowOff>
              </to>
            </anchor>
          </controlPr>
        </control>
      </mc:Choice>
    </mc:AlternateContent>
    <mc:AlternateContent xmlns:mc="http://schemas.openxmlformats.org/markup-compatibility/2006">
      <mc:Choice Requires="x14">
        <control shapeId="12299" r:id="rId10" name="Button 11">
          <controlPr defaultSize="0" print="0" autoFill="0" autoPict="0" macro="[0]!Sheet6.GCtractor_inter">
            <anchor moveWithCells="1" sizeWithCells="1">
              <from>
                <xdr:col>10</xdr:col>
                <xdr:colOff>0</xdr:colOff>
                <xdr:row>24</xdr:row>
                <xdr:rowOff>0</xdr:rowOff>
              </from>
              <to>
                <xdr:col>12</xdr:col>
                <xdr:colOff>0</xdr:colOff>
                <xdr:row>27</xdr:row>
                <xdr:rowOff>0</xdr:rowOff>
              </to>
            </anchor>
          </controlPr>
        </control>
      </mc:Choice>
    </mc:AlternateContent>
    <mc:AlternateContent xmlns:mc="http://schemas.openxmlformats.org/markup-compatibility/2006">
      <mc:Choice Requires="x14">
        <control shapeId="12300" r:id="rId11" name="Button 12">
          <controlPr defaultSize="0" print="0" autoFill="0" autoPict="0" macro="[0]!Sheet6.GCtractor_default_prices">
            <anchor moveWithCells="1" sizeWithCells="1">
              <from>
                <xdr:col>2</xdr:col>
                <xdr:colOff>0</xdr:colOff>
                <xdr:row>35</xdr:row>
                <xdr:rowOff>0</xdr:rowOff>
              </from>
              <to>
                <xdr:col>3</xdr:col>
                <xdr:colOff>0</xdr:colOff>
                <xdr:row>37</xdr:row>
                <xdr:rowOff>0</xdr:rowOff>
              </to>
            </anchor>
          </controlPr>
        </control>
      </mc:Choice>
    </mc:AlternateContent>
    <mc:AlternateContent xmlns:mc="http://schemas.openxmlformats.org/markup-compatibility/2006">
      <mc:Choice Requires="x14">
        <control shapeId="12301" r:id="rId12" name="Button 13">
          <controlPr defaultSize="0" print="0" autoFill="0" autoPict="0" macro="[0]!Sheet6.GCmain_input">
            <anchor moveWithCells="1" sizeWithCells="1">
              <from>
                <xdr:col>2</xdr:col>
                <xdr:colOff>0</xdr:colOff>
                <xdr:row>43</xdr:row>
                <xdr:rowOff>0</xdr:rowOff>
              </from>
              <to>
                <xdr:col>3</xdr:col>
                <xdr:colOff>0</xdr:colOff>
                <xdr:row>45</xdr:row>
                <xdr:rowOff>0</xdr:rowOff>
              </to>
            </anchor>
          </controlPr>
        </control>
      </mc:Choice>
    </mc:AlternateContent>
  </controls>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Sheet3"/>
  <dimension ref="B1:S38"/>
  <sheetViews>
    <sheetView showGridLines="0" showRowColHeaders="0" zoomScaleNormal="100" workbookViewId="0"/>
  </sheetViews>
  <sheetFormatPr defaultRowHeight="12.5"/>
  <cols>
    <col min="1" max="1" width="0.6328125" customWidth="1"/>
    <col min="2" max="2" width="0.453125" customWidth="1"/>
    <col min="3" max="3" width="0.90625" customWidth="1"/>
    <col min="4" max="4" width="20.54296875" customWidth="1"/>
    <col min="5" max="5" width="6.6328125" customWidth="1"/>
    <col min="6" max="6" width="8.6328125" customWidth="1"/>
    <col min="7" max="7" width="5.90625" customWidth="1"/>
    <col min="8" max="8" width="0.6328125" customWidth="1"/>
    <col min="9" max="9" width="1.453125" customWidth="1"/>
    <col min="10" max="10" width="21" customWidth="1"/>
    <col min="11" max="11" width="5.90625" customWidth="1"/>
    <col min="12" max="12" width="8.90625" customWidth="1"/>
    <col min="13" max="13" width="7" customWidth="1"/>
    <col min="14" max="14" width="1" customWidth="1"/>
  </cols>
  <sheetData>
    <row r="1" spans="2:19" ht="13.25" customHeight="1"/>
    <row r="2" spans="2:19" ht="13.25" customHeight="1"/>
    <row r="3" spans="2:19" ht="13.25" customHeight="1">
      <c r="F3" s="22" t="s">
        <v>283</v>
      </c>
    </row>
    <row r="4" spans="2:19" ht="13.25" customHeight="1"/>
    <row r="5" spans="2:19" ht="13.25" customHeight="1"/>
    <row r="6" spans="2:19" ht="13.25" customHeight="1">
      <c r="B6" s="217"/>
      <c r="C6" s="218"/>
      <c r="D6" s="288" t="s">
        <v>271</v>
      </c>
      <c r="E6" s="288"/>
      <c r="F6" s="288"/>
      <c r="G6" s="288"/>
      <c r="H6" s="219"/>
      <c r="I6" s="219"/>
      <c r="J6" s="219"/>
      <c r="K6" s="219"/>
      <c r="L6" s="219"/>
      <c r="M6" s="220"/>
      <c r="P6" s="175" t="s">
        <v>61</v>
      </c>
    </row>
    <row r="7" spans="2:19" ht="13.25" customHeight="1">
      <c r="B7" s="221"/>
      <c r="C7" s="222"/>
      <c r="D7" s="289"/>
      <c r="E7" s="289"/>
      <c r="F7" s="289"/>
      <c r="G7" s="289"/>
      <c r="H7" s="222"/>
      <c r="I7" s="222"/>
      <c r="J7" s="222"/>
      <c r="K7" s="222"/>
      <c r="L7" s="222"/>
      <c r="M7" s="223"/>
      <c r="P7" s="175" t="s">
        <v>58</v>
      </c>
    </row>
    <row r="8" spans="2:19" ht="13.25" customHeight="1">
      <c r="B8" s="11"/>
      <c r="C8" s="12"/>
      <c r="D8" s="12"/>
      <c r="E8" s="12"/>
      <c r="F8" s="12"/>
      <c r="G8" s="13"/>
      <c r="H8" s="201"/>
      <c r="I8" s="201"/>
      <c r="J8" s="201"/>
      <c r="K8" s="201"/>
      <c r="L8" s="201"/>
      <c r="M8" s="216"/>
      <c r="P8" s="175" t="s">
        <v>272</v>
      </c>
    </row>
    <row r="9" spans="2:19" ht="13.25" customHeight="1">
      <c r="B9" s="11"/>
      <c r="C9" s="107" t="s">
        <v>231</v>
      </c>
      <c r="D9" s="12"/>
      <c r="E9" s="12"/>
      <c r="F9" s="12"/>
      <c r="G9" s="13"/>
      <c r="H9" s="201"/>
      <c r="I9" s="165" t="s">
        <v>273</v>
      </c>
      <c r="J9" s="202"/>
      <c r="K9" s="202"/>
      <c r="L9" s="202"/>
      <c r="M9" s="203"/>
      <c r="P9" s="175"/>
    </row>
    <row r="10" spans="2:19" ht="13.25" customHeight="1">
      <c r="B10" s="11"/>
      <c r="C10" s="12"/>
      <c r="D10" s="12" t="s">
        <v>232</v>
      </c>
      <c r="E10" s="200" t="s">
        <v>61</v>
      </c>
      <c r="F10" s="12"/>
      <c r="G10" s="13"/>
      <c r="H10" s="202"/>
      <c r="I10" s="202"/>
      <c r="J10" s="165"/>
      <c r="K10" s="204" t="s">
        <v>247</v>
      </c>
      <c r="L10" s="204" t="s">
        <v>248</v>
      </c>
      <c r="M10" s="203"/>
    </row>
    <row r="11" spans="2:19" ht="13.25" customHeight="1">
      <c r="B11" s="11"/>
      <c r="C11" s="12"/>
      <c r="D11" s="12" t="s">
        <v>233</v>
      </c>
      <c r="E11" s="184">
        <v>0.5</v>
      </c>
      <c r="F11" s="12" t="s">
        <v>243</v>
      </c>
      <c r="G11" s="13"/>
      <c r="H11" s="202"/>
      <c r="I11" s="165" t="s">
        <v>244</v>
      </c>
      <c r="J11" s="202"/>
      <c r="K11" s="204" t="s">
        <v>248</v>
      </c>
      <c r="L11" s="204" t="s">
        <v>249</v>
      </c>
      <c r="M11" s="203"/>
      <c r="P11" s="175"/>
      <c r="Q11" s="175"/>
      <c r="R11" s="175"/>
      <c r="S11" s="175"/>
    </row>
    <row r="12" spans="2:19" ht="13.25" customHeight="1">
      <c r="B12" s="11"/>
      <c r="C12" s="12"/>
      <c r="D12" s="12" t="s">
        <v>234</v>
      </c>
      <c r="E12" s="153">
        <v>200</v>
      </c>
      <c r="F12" s="12" t="s">
        <v>242</v>
      </c>
      <c r="G12" s="13"/>
      <c r="H12" s="202"/>
      <c r="I12" s="202" t="s">
        <v>245</v>
      </c>
      <c r="J12" s="202"/>
      <c r="K12" s="202">
        <f>ROUND(2*E11*5280*Q15/43560,1)</f>
        <v>2.4</v>
      </c>
      <c r="L12" s="202">
        <f>K12</f>
        <v>2.4</v>
      </c>
      <c r="M12" s="203" t="s">
        <v>250</v>
      </c>
      <c r="P12" s="175"/>
      <c r="Q12" s="175"/>
      <c r="R12" s="175"/>
      <c r="S12" s="175"/>
    </row>
    <row r="13" spans="2:19" ht="13.25" customHeight="1">
      <c r="B13" s="11"/>
      <c r="C13" s="12"/>
      <c r="D13" s="12"/>
      <c r="E13" s="12"/>
      <c r="F13" s="12"/>
      <c r="G13" s="13"/>
      <c r="H13" s="202"/>
      <c r="I13" s="202" t="s">
        <v>252</v>
      </c>
      <c r="J13" s="202"/>
      <c r="K13" s="205">
        <f>ROUND(K12*E12,0)</f>
        <v>480</v>
      </c>
      <c r="L13" s="205">
        <f>K13</f>
        <v>480</v>
      </c>
      <c r="M13" s="203" t="s">
        <v>240</v>
      </c>
      <c r="P13" s="175"/>
      <c r="Q13" s="175"/>
      <c r="R13" s="175"/>
      <c r="S13" s="175"/>
    </row>
    <row r="14" spans="2:19" ht="13.25" customHeight="1">
      <c r="B14" s="11"/>
      <c r="C14" s="107" t="s">
        <v>235</v>
      </c>
      <c r="D14" s="12"/>
      <c r="E14" s="12"/>
      <c r="F14" s="12"/>
      <c r="G14" s="13"/>
      <c r="H14" s="202"/>
      <c r="I14" s="202" t="s">
        <v>246</v>
      </c>
      <c r="J14" s="202"/>
      <c r="K14" s="206">
        <f>IF(E18/K13&lt;0.5,"Can not complete 1/2 round",IF(E18/K13&lt;1,0.5,INT(E18/K13)))</f>
        <v>0.5</v>
      </c>
      <c r="L14" s="202"/>
      <c r="M14" s="203"/>
      <c r="P14" s="175"/>
      <c r="Q14" s="175"/>
      <c r="R14" s="175"/>
      <c r="S14" s="175"/>
    </row>
    <row r="15" spans="2:19" ht="13.25" customHeight="1">
      <c r="B15" s="11"/>
      <c r="C15" s="12"/>
      <c r="D15" s="12" t="str">
        <f>IF(E10="corn","Rows (30 inch rows)","Grain platform width")</f>
        <v>Rows (30 inch rows)</v>
      </c>
      <c r="E15" s="153">
        <v>8</v>
      </c>
      <c r="F15" s="12" t="str">
        <f>IF(E10="Corn","  number","  feet")</f>
        <v xml:space="preserve">  number</v>
      </c>
      <c r="G15" s="13"/>
      <c r="H15" s="202"/>
      <c r="I15" s="202" t="s">
        <v>251</v>
      </c>
      <c r="J15" s="202"/>
      <c r="K15" s="166">
        <f>IF(E18/K13&gt;0.5,0,INT(K13/E18+0.5))</f>
        <v>0</v>
      </c>
      <c r="L15" s="202"/>
      <c r="M15" s="203"/>
      <c r="P15" s="175"/>
      <c r="Q15" s="175">
        <f>IF(E10="corn",E15*30/12,E15)</f>
        <v>20</v>
      </c>
      <c r="R15" s="175"/>
      <c r="S15" s="229"/>
    </row>
    <row r="16" spans="2:19" ht="13.25" customHeight="1">
      <c r="B16" s="11"/>
      <c r="C16" s="12"/>
      <c r="D16" s="12" t="s">
        <v>28</v>
      </c>
      <c r="E16" s="153">
        <v>5</v>
      </c>
      <c r="F16" s="12" t="s">
        <v>270</v>
      </c>
      <c r="G16" s="13"/>
      <c r="H16" s="202"/>
      <c r="I16" s="202"/>
      <c r="J16" s="202" t="s">
        <v>254</v>
      </c>
      <c r="K16" s="207">
        <f>ROUND((E11*2/E16)*60+E17*2,1)</f>
        <v>13</v>
      </c>
      <c r="L16" s="208">
        <f>K16</f>
        <v>13</v>
      </c>
      <c r="M16" s="203"/>
      <c r="P16" s="175"/>
      <c r="Q16" s="175"/>
      <c r="R16" s="175"/>
      <c r="S16" s="230"/>
    </row>
    <row r="17" spans="2:19" ht="13.25" customHeight="1">
      <c r="B17" s="11"/>
      <c r="C17" s="12"/>
      <c r="D17" s="12" t="s">
        <v>236</v>
      </c>
      <c r="E17" s="153">
        <v>0.5</v>
      </c>
      <c r="F17" s="12" t="s">
        <v>239</v>
      </c>
      <c r="G17" s="13"/>
      <c r="H17" s="202"/>
      <c r="I17" s="202"/>
      <c r="J17" s="202" t="s">
        <v>284</v>
      </c>
      <c r="K17" s="209">
        <f>ROUND(IF(K15=0,(K13*K14/E19/60+E21*2)*1/K14,(E18/E19/60+E21*2)*K15),1)</f>
        <v>4.4000000000000004</v>
      </c>
      <c r="L17" s="210"/>
      <c r="M17" s="203"/>
      <c r="P17" s="175"/>
      <c r="Q17" s="175"/>
      <c r="R17" s="175"/>
      <c r="S17" s="175"/>
    </row>
    <row r="18" spans="2:19" ht="13.25" customHeight="1">
      <c r="B18" s="11"/>
      <c r="C18" s="12"/>
      <c r="D18" s="12" t="s">
        <v>237</v>
      </c>
      <c r="E18" s="153">
        <v>320</v>
      </c>
      <c r="F18" s="12" t="s">
        <v>240</v>
      </c>
      <c r="G18" s="13"/>
      <c r="H18" s="202"/>
      <c r="I18" s="202"/>
      <c r="J18" s="202" t="s">
        <v>255</v>
      </c>
      <c r="K18" s="208">
        <f>SUM(K16:K17)</f>
        <v>17.399999999999999</v>
      </c>
      <c r="L18" s="208">
        <f>SUM(L16:L17)</f>
        <v>13</v>
      </c>
      <c r="M18" s="203"/>
      <c r="P18" s="175"/>
      <c r="Q18" s="175"/>
      <c r="R18" s="175"/>
      <c r="S18" s="175"/>
    </row>
    <row r="19" spans="2:19" ht="13.25" customHeight="1">
      <c r="B19" s="11"/>
      <c r="C19" s="12"/>
      <c r="D19" s="12" t="s">
        <v>238</v>
      </c>
      <c r="E19" s="153">
        <v>3.3</v>
      </c>
      <c r="F19" s="12" t="s">
        <v>241</v>
      </c>
      <c r="G19" s="13"/>
      <c r="H19" s="202"/>
      <c r="I19" s="202"/>
      <c r="J19" s="202"/>
      <c r="K19" s="202"/>
      <c r="L19" s="202"/>
      <c r="M19" s="203"/>
      <c r="P19" s="175"/>
      <c r="Q19" s="175"/>
      <c r="R19" s="175"/>
      <c r="S19" s="175"/>
    </row>
    <row r="20" spans="2:19" ht="13.25" customHeight="1">
      <c r="B20" s="11"/>
      <c r="C20" s="12"/>
      <c r="D20" s="12" t="s">
        <v>269</v>
      </c>
      <c r="E20" s="12"/>
      <c r="F20" s="12"/>
      <c r="G20" s="13"/>
      <c r="H20" s="202"/>
      <c r="I20" s="165" t="s">
        <v>253</v>
      </c>
      <c r="J20" s="202"/>
      <c r="K20" s="202"/>
      <c r="L20" s="202"/>
      <c r="M20" s="203"/>
      <c r="P20" s="175"/>
      <c r="Q20" s="175"/>
      <c r="R20" s="175"/>
      <c r="S20" s="176"/>
    </row>
    <row r="21" spans="2:19" ht="13.25" customHeight="1">
      <c r="B21" s="11"/>
      <c r="C21" s="12"/>
      <c r="D21" s="12" t="s">
        <v>268</v>
      </c>
      <c r="E21" s="153">
        <v>0.5</v>
      </c>
      <c r="F21" s="12" t="s">
        <v>239</v>
      </c>
      <c r="G21" s="13"/>
      <c r="H21" s="202"/>
      <c r="I21" s="202"/>
      <c r="J21" s="202" t="s">
        <v>36</v>
      </c>
      <c r="K21" s="202">
        <f>ROUND(K12*60/K18,1)</f>
        <v>8.3000000000000007</v>
      </c>
      <c r="L21" s="202">
        <f>ROUND(L12*60/L18,1)</f>
        <v>11.1</v>
      </c>
      <c r="M21" s="203"/>
      <c r="P21" s="175"/>
      <c r="Q21" s="175"/>
      <c r="R21" s="175"/>
      <c r="S21" s="176"/>
    </row>
    <row r="22" spans="2:19" ht="13.25" customHeight="1">
      <c r="B22" s="11"/>
      <c r="C22" s="12"/>
      <c r="D22" s="21" t="s">
        <v>311</v>
      </c>
      <c r="E22" s="153">
        <v>16</v>
      </c>
      <c r="F22" s="21" t="s">
        <v>310</v>
      </c>
      <c r="G22" s="13"/>
      <c r="H22" s="202"/>
      <c r="I22" s="202"/>
      <c r="J22" s="202" t="s">
        <v>256</v>
      </c>
      <c r="K22" s="205">
        <f>ROUND(K21*$E$12,0)</f>
        <v>1660</v>
      </c>
      <c r="L22" s="205">
        <f>ROUND(L21*$E$12,0)</f>
        <v>2220</v>
      </c>
      <c r="M22" s="203"/>
      <c r="P22" s="176"/>
      <c r="Q22" s="176"/>
      <c r="R22" s="176"/>
      <c r="S22" s="176"/>
    </row>
    <row r="23" spans="2:19" ht="13.25" customHeight="1" thickBot="1">
      <c r="B23" s="211"/>
      <c r="C23" s="212"/>
      <c r="D23" s="212"/>
      <c r="E23" s="212"/>
      <c r="F23" s="212"/>
      <c r="G23" s="213"/>
      <c r="H23" s="214"/>
      <c r="I23" s="214"/>
      <c r="J23" s="214"/>
      <c r="K23" s="214"/>
      <c r="L23" s="214"/>
      <c r="M23" s="215"/>
      <c r="P23" s="176"/>
      <c r="Q23" s="176"/>
      <c r="R23" s="176"/>
      <c r="S23" s="176"/>
    </row>
    <row r="24" spans="2:19" ht="13.25" customHeight="1" thickTop="1">
      <c r="B24" s="112"/>
      <c r="C24" s="218"/>
      <c r="D24" s="288" t="s">
        <v>282</v>
      </c>
      <c r="E24" s="288"/>
      <c r="F24" s="288"/>
      <c r="G24" s="288"/>
      <c r="H24" s="219"/>
      <c r="I24" s="219"/>
      <c r="J24" s="219"/>
      <c r="K24" s="219"/>
      <c r="L24" s="219"/>
      <c r="M24" s="220"/>
      <c r="P24" s="175"/>
      <c r="Q24" s="175"/>
      <c r="R24" s="175"/>
      <c r="S24" s="175"/>
    </row>
    <row r="25" spans="2:19" ht="13.25" customHeight="1">
      <c r="B25" s="117"/>
      <c r="C25" s="222"/>
      <c r="D25" s="289"/>
      <c r="E25" s="289"/>
      <c r="F25" s="289"/>
      <c r="G25" s="289"/>
      <c r="H25" s="222"/>
      <c r="I25" s="222"/>
      <c r="J25" s="222"/>
      <c r="K25" s="113"/>
      <c r="L25" s="113"/>
      <c r="M25" s="223"/>
      <c r="P25" s="175"/>
      <c r="Q25" s="237">
        <f>IF(E32="No",K21,L21)</f>
        <v>11.1</v>
      </c>
      <c r="R25" s="175"/>
      <c r="S25" s="175"/>
    </row>
    <row r="26" spans="2:19" ht="13.25" customHeight="1">
      <c r="B26" s="11"/>
      <c r="C26" s="224"/>
      <c r="D26" s="225"/>
      <c r="E26" s="225"/>
      <c r="F26" s="225"/>
      <c r="G26" s="12"/>
      <c r="H26" s="226"/>
      <c r="I26" s="227"/>
      <c r="J26" s="227"/>
      <c r="K26" s="227"/>
      <c r="L26" s="227"/>
      <c r="M26" s="228"/>
      <c r="P26" s="175"/>
      <c r="Q26" s="237"/>
      <c r="R26" s="175"/>
      <c r="S26" s="175"/>
    </row>
    <row r="27" spans="2:19" ht="13.25" customHeight="1">
      <c r="B27" s="11"/>
      <c r="C27" s="107" t="s">
        <v>257</v>
      </c>
      <c r="D27" s="12"/>
      <c r="E27" s="12"/>
      <c r="F27" s="12"/>
      <c r="G27" s="12"/>
      <c r="H27" s="75"/>
      <c r="I27" s="68" t="s">
        <v>281</v>
      </c>
      <c r="J27" s="76"/>
      <c r="K27" s="76"/>
      <c r="L27" s="76"/>
      <c r="M27" s="78"/>
      <c r="P27" s="175"/>
      <c r="Q27" s="238"/>
      <c r="R27" s="175"/>
      <c r="S27" s="175"/>
    </row>
    <row r="28" spans="2:19" ht="13.25" customHeight="1">
      <c r="B28" s="11"/>
      <c r="C28" s="12">
        <v>0</v>
      </c>
      <c r="D28" s="12" t="s">
        <v>258</v>
      </c>
      <c r="E28" s="153">
        <v>2</v>
      </c>
      <c r="F28" s="12" t="s">
        <v>265</v>
      </c>
      <c r="G28" s="12"/>
      <c r="H28" s="75"/>
      <c r="I28" s="76"/>
      <c r="J28" s="76" t="s">
        <v>274</v>
      </c>
      <c r="K28" s="81">
        <f>E28*E29*(60/E30)</f>
        <v>1200</v>
      </c>
      <c r="L28" s="76" t="s">
        <v>278</v>
      </c>
      <c r="M28" s="78"/>
      <c r="P28" s="175"/>
      <c r="Q28" s="237"/>
      <c r="R28" s="175"/>
      <c r="S28" s="175"/>
    </row>
    <row r="29" spans="2:19" ht="13.25" customHeight="1">
      <c r="B29" s="11"/>
      <c r="C29" s="12"/>
      <c r="D29" s="12" t="s">
        <v>264</v>
      </c>
      <c r="E29" s="173">
        <v>900</v>
      </c>
      <c r="F29" s="12" t="s">
        <v>240</v>
      </c>
      <c r="G29" s="12"/>
      <c r="H29" s="75"/>
      <c r="I29" s="76"/>
      <c r="J29" s="76" t="s">
        <v>275</v>
      </c>
      <c r="K29" s="81">
        <f>IF(E32="yes",L22,K22)</f>
        <v>2220</v>
      </c>
      <c r="L29" s="76" t="s">
        <v>278</v>
      </c>
      <c r="M29" s="78"/>
      <c r="P29" s="175"/>
      <c r="Q29" s="237" t="s">
        <v>266</v>
      </c>
      <c r="R29" s="175"/>
      <c r="S29" s="175"/>
    </row>
    <row r="30" spans="2:19" ht="13.25" customHeight="1">
      <c r="B30" s="11"/>
      <c r="C30" s="12"/>
      <c r="D30" s="12" t="s">
        <v>259</v>
      </c>
      <c r="E30" s="153">
        <v>90</v>
      </c>
      <c r="F30" s="12" t="s">
        <v>239</v>
      </c>
      <c r="G30" s="12"/>
      <c r="H30" s="75"/>
      <c r="I30" s="76"/>
      <c r="J30" s="76" t="s">
        <v>276</v>
      </c>
      <c r="K30" s="76"/>
      <c r="L30" s="76"/>
      <c r="M30" s="78"/>
      <c r="P30" s="175"/>
      <c r="Q30" s="237" t="s">
        <v>267</v>
      </c>
      <c r="R30" s="175"/>
      <c r="S30" s="175"/>
    </row>
    <row r="31" spans="2:19" ht="13.25" customHeight="1">
      <c r="B31" s="11"/>
      <c r="C31" s="12"/>
      <c r="D31" s="12" t="s">
        <v>260</v>
      </c>
      <c r="E31" s="12"/>
      <c r="F31" s="12"/>
      <c r="G31" s="13"/>
      <c r="H31" s="75"/>
      <c r="I31" s="76"/>
      <c r="J31" s="76" t="s">
        <v>277</v>
      </c>
      <c r="K31" s="77" t="str">
        <f>IF(K28&gt;K29,"Yes","No")</f>
        <v>No</v>
      </c>
      <c r="L31" s="76"/>
      <c r="M31" s="78"/>
      <c r="P31" s="175"/>
      <c r="Q31" s="175"/>
      <c r="R31" s="175"/>
      <c r="S31" s="175"/>
    </row>
    <row r="32" spans="2:19" ht="13.25" customHeight="1">
      <c r="B32" s="11"/>
      <c r="C32" s="12"/>
      <c r="D32" s="12" t="s">
        <v>261</v>
      </c>
      <c r="E32" s="179" t="s">
        <v>266</v>
      </c>
      <c r="F32" s="12"/>
      <c r="G32" s="13"/>
      <c r="H32" s="75"/>
      <c r="I32" s="76"/>
      <c r="J32" s="76" t="s">
        <v>279</v>
      </c>
      <c r="K32" s="76"/>
      <c r="L32" s="76"/>
      <c r="M32" s="78"/>
      <c r="P32" s="175"/>
      <c r="Q32" s="175"/>
      <c r="R32" s="175"/>
      <c r="S32" s="175"/>
    </row>
    <row r="33" spans="2:19" ht="13.25" customHeight="1">
      <c r="B33" s="11"/>
      <c r="C33" s="12"/>
      <c r="D33" s="12" t="s">
        <v>262</v>
      </c>
      <c r="E33" s="153">
        <v>2</v>
      </c>
      <c r="F33" s="12" t="s">
        <v>265</v>
      </c>
      <c r="G33" s="13"/>
      <c r="H33" s="75"/>
      <c r="I33" s="76"/>
      <c r="J33" s="76" t="s">
        <v>280</v>
      </c>
      <c r="K33" s="77">
        <f>IF(K31="Yes","Never",IF(((E18+(E29*E28)+(E34*E33))/(K29-K28)*Q25)&gt;E22*Q25,"Never",((E18+(E29*E28)+(E34*E33))/(K29-K28)*Q25)))</f>
        <v>44.835294117647052</v>
      </c>
      <c r="L33" s="76"/>
      <c r="M33" s="78"/>
      <c r="P33" s="175"/>
      <c r="Q33" s="176"/>
      <c r="R33" s="175"/>
      <c r="S33" s="175"/>
    </row>
    <row r="34" spans="2:19" ht="13.25" customHeight="1">
      <c r="B34" s="11"/>
      <c r="C34" s="12"/>
      <c r="D34" s="12" t="s">
        <v>263</v>
      </c>
      <c r="E34" s="173">
        <v>1000</v>
      </c>
      <c r="F34" s="12" t="s">
        <v>240</v>
      </c>
      <c r="G34" s="13"/>
      <c r="H34" s="75"/>
      <c r="I34" s="76"/>
      <c r="J34" s="76"/>
      <c r="K34" s="76"/>
      <c r="L34" s="76"/>
      <c r="M34" s="78"/>
      <c r="P34" s="175"/>
      <c r="Q34" s="175"/>
      <c r="R34" s="175"/>
      <c r="S34" s="175"/>
    </row>
    <row r="35" spans="2:19" ht="13.25" customHeight="1">
      <c r="B35" s="14"/>
      <c r="C35" s="15"/>
      <c r="D35" s="15"/>
      <c r="E35" s="15"/>
      <c r="F35" s="15"/>
      <c r="G35" s="16"/>
      <c r="H35" s="84"/>
      <c r="I35" s="79"/>
      <c r="J35" s="79"/>
      <c r="K35" s="79"/>
      <c r="L35" s="79"/>
      <c r="M35" s="85"/>
      <c r="P35" s="175"/>
      <c r="Q35" s="175"/>
      <c r="R35" s="175"/>
      <c r="S35" s="175"/>
    </row>
    <row r="36" spans="2:19" ht="13.25" customHeight="1">
      <c r="P36" s="175"/>
      <c r="Q36" s="175"/>
      <c r="R36" s="175"/>
      <c r="S36" s="175"/>
    </row>
    <row r="37" spans="2:19" ht="13.25" customHeight="1">
      <c r="P37" s="175"/>
      <c r="Q37" s="175"/>
      <c r="R37" s="175"/>
      <c r="S37" s="175"/>
    </row>
    <row r="38" spans="2:19" ht="13.25" customHeight="1">
      <c r="P38" s="175"/>
      <c r="Q38" s="175"/>
      <c r="R38" s="175"/>
      <c r="S38" s="175"/>
    </row>
  </sheetData>
  <sheetProtection algorithmName="SHA-512" hashValue="f48CcV1HHGQmTtmzWciJM0bjPTyfd+HmPNQzoYTm4ejUwHLdgSiTyL/P1E6IaL9sM7UBxUtK9TvcnHKG5JIUqw==" saltValue="Kl06sZ6krr7XyLCU9iZ72g==" spinCount="100000" sheet="1" objects="1" scenarios="1"/>
  <mergeCells count="2">
    <mergeCell ref="D6:G7"/>
    <mergeCell ref="D24:G25"/>
  </mergeCells>
  <phoneticPr fontId="13" type="noConversion"/>
  <dataValidations count="2">
    <dataValidation type="list" allowBlank="1" showInputMessage="1" showErrorMessage="1" sqref="E32" xr:uid="{00000000-0002-0000-0500-000000000000}">
      <formula1>$Q$29:$Q$30</formula1>
    </dataValidation>
    <dataValidation type="list" allowBlank="1" showInputMessage="1" showErrorMessage="1" sqref="E10" xr:uid="{00000000-0002-0000-0500-000001000000}">
      <formula1>$P$6:$P$8</formula1>
    </dataValidation>
  </dataValidations>
  <pageMargins left="0.75" right="0.75" top="1" bottom="1" header="0.5" footer="0.5"/>
  <pageSetup orientation="portrait" r:id="rId1"/>
  <headerFooter alignWithMargins="0"/>
  <drawing r:id="rId2"/>
  <legacyDrawing r:id="rId3"/>
  <mc:AlternateContent xmlns:mc="http://schemas.openxmlformats.org/markup-compatibility/2006">
    <mc:Choice Requires="x14">
      <controls>
        <mc:AlternateContent xmlns:mc="http://schemas.openxmlformats.org/markup-compatibility/2006">
          <mc:Choice Requires="x14">
            <control shapeId="8203" r:id="rId4" name="Button 11">
              <controlPr defaultSize="0" print="0" autoFill="0" autoPict="0" macro="[0]!menu">
                <anchor moveWithCells="1" sizeWithCells="1">
                  <from>
                    <xdr:col>9</xdr:col>
                    <xdr:colOff>0</xdr:colOff>
                    <xdr:row>3</xdr:row>
                    <xdr:rowOff>0</xdr:rowOff>
                  </from>
                  <to>
                    <xdr:col>10</xdr:col>
                    <xdr:colOff>0</xdr:colOff>
                    <xdr:row>5</xdr:row>
                    <xdr:rowOff>0</xdr:rowOff>
                  </to>
                </anchor>
              </controlPr>
            </control>
          </mc:Choice>
        </mc:AlternateContent>
        <mc:AlternateContent xmlns:mc="http://schemas.openxmlformats.org/markup-compatibility/2006">
          <mc:Choice Requires="x14">
            <control shapeId="8205" r:id="rId5" name="Button 13">
              <controlPr defaultSize="0" print="0" autoFill="0" autoPict="0" macro="[0]!Sheet3.printefficiency">
                <anchor moveWithCells="1" sizeWithCells="1">
                  <from>
                    <xdr:col>11</xdr:col>
                    <xdr:colOff>0</xdr:colOff>
                    <xdr:row>3</xdr:row>
                    <xdr:rowOff>0</xdr:rowOff>
                  </from>
                  <to>
                    <xdr:col>12</xdr:col>
                    <xdr:colOff>0</xdr:colOff>
                    <xdr:row>5</xdr:row>
                    <xdr:rowOff>0</xdr:rowOff>
                  </to>
                </anchor>
              </controlPr>
            </control>
          </mc:Choice>
        </mc:AlternateContent>
      </controls>
    </mc:Choice>
  </mc:AlternateConten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8</vt:i4>
      </vt:variant>
      <vt:variant>
        <vt:lpstr>Named Ranges</vt:lpstr>
      </vt:variant>
      <vt:variant>
        <vt:i4>13</vt:i4>
      </vt:variant>
    </vt:vector>
  </HeadingPairs>
  <TitlesOfParts>
    <vt:vector size="21" baseType="lpstr">
      <vt:lpstr>Security Settings</vt:lpstr>
      <vt:lpstr>Information</vt:lpstr>
      <vt:lpstr>work</vt:lpstr>
      <vt:lpstr>tillage</vt:lpstr>
      <vt:lpstr>tillage data</vt:lpstr>
      <vt:lpstr>combine</vt:lpstr>
      <vt:lpstr>graincart</vt:lpstr>
      <vt:lpstr>efficiency</vt:lpstr>
      <vt:lpstr>graincart!Field_Cultivator__42_ft.</vt:lpstr>
      <vt:lpstr>Field_Cultivator__42_ft.</vt:lpstr>
      <vt:lpstr>impName</vt:lpstr>
      <vt:lpstr>graincart!impName2</vt:lpstr>
      <vt:lpstr>impNameTst</vt:lpstr>
      <vt:lpstr>graincart!impNameTst2</vt:lpstr>
      <vt:lpstr>Macros</vt:lpstr>
      <vt:lpstr>combine!Print_Area</vt:lpstr>
      <vt:lpstr>efficiency!Print_Area</vt:lpstr>
      <vt:lpstr>graincart!Print_Area</vt:lpstr>
      <vt:lpstr>tillage!Print_Area</vt:lpstr>
      <vt:lpstr>screen</vt:lpstr>
      <vt:lpstr>screenA</vt:lpstr>
    </vt:vector>
  </TitlesOfParts>
  <Company>University of Illinois</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Clark A  Roberts</dc:creator>
  <cp:lastModifiedBy>Carly Haugh</cp:lastModifiedBy>
  <cp:lastPrinted>2023-09-26T19:07:24Z</cp:lastPrinted>
  <dcterms:created xsi:type="dcterms:W3CDTF">2001-06-21T20:53:29Z</dcterms:created>
  <dcterms:modified xsi:type="dcterms:W3CDTF">2025-02-21T21:59:27Z</dcterms:modified>
</cp:coreProperties>
</file>