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75" windowHeight="7470" tabRatio="601" activeTab="0"/>
  </bookViews>
  <sheets>
    <sheet name="DrylotFtFBudget-1" sheetId="1" r:id="rId1"/>
    <sheet name="FixedCosts" sheetId="2" r:id="rId2"/>
    <sheet name="Risk + Chart" sheetId="3" r:id="rId3"/>
    <sheet name="SitePlan" sheetId="4" r:id="rId4"/>
    <sheet name="FeedBudget" sheetId="5" r:id="rId5"/>
  </sheets>
  <definedNames>
    <definedName name="_xlnm.Print_Area" localSheetId="0">'DrylotFtFBudget-1'!$A$1:$H$73</definedName>
    <definedName name="_xlnm.Print_Area" localSheetId="4">'FeedBudget'!$A$1:$M$73</definedName>
    <definedName name="_xlnm.Print_Area" localSheetId="1">'FixedCosts'!$A$1:$L$59</definedName>
    <definedName name="_xlnm.Print_Area" localSheetId="2">'Risk + Chart'!$A$1:$K$53</definedName>
  </definedNames>
  <calcPr fullCalcOnLoad="1"/>
</workbook>
</file>

<file path=xl/sharedStrings.xml><?xml version="1.0" encoding="utf-8"?>
<sst xmlns="http://schemas.openxmlformats.org/spreadsheetml/2006/main" count="550" uniqueCount="329">
  <si>
    <t>Category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</si>
  <si>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</si>
  <si>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</si>
  <si>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</si>
  <si>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</si>
  <si>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0"/>
        <rFont val="Arial"/>
        <family val="2"/>
      </rPr>
      <t>b</t>
    </r>
  </si>
  <si>
    <t>Tax &amp;</t>
  </si>
  <si>
    <t>Total</t>
  </si>
  <si>
    <t>Description</t>
  </si>
  <si>
    <t>Unit</t>
  </si>
  <si>
    <t>Quantity</t>
  </si>
  <si>
    <t>Value</t>
  </si>
  <si>
    <t>Cost</t>
  </si>
  <si>
    <r>
      <t>iation</t>
    </r>
    <r>
      <rPr>
        <b/>
        <vertAlign val="superscript"/>
        <sz val="10"/>
        <rFont val="Arial"/>
        <family val="2"/>
      </rPr>
      <t>a</t>
    </r>
  </si>
  <si>
    <r>
      <t>Ins.</t>
    </r>
    <r>
      <rPr>
        <b/>
        <vertAlign val="superscript"/>
        <sz val="10"/>
        <rFont val="Arial"/>
        <family val="2"/>
      </rPr>
      <t>c</t>
    </r>
  </si>
  <si>
    <t>Years</t>
  </si>
  <si>
    <t>$</t>
  </si>
  <si>
    <t>Cwt.</t>
  </si>
  <si>
    <t>__________</t>
  </si>
  <si>
    <t>Acre</t>
  </si>
  <si>
    <r>
      <t>a</t>
    </r>
    <r>
      <rPr>
        <sz val="10"/>
        <rFont val="Arial"/>
        <family val="2"/>
      </rPr>
      <t xml:space="preserve"> Depreciation = (Initial cost - Salvage value) / years of life</t>
    </r>
  </si>
  <si>
    <t>$/hr.</t>
  </si>
  <si>
    <t xml:space="preserve">   Livestock labor</t>
  </si>
  <si>
    <t>Water Supply</t>
  </si>
  <si>
    <t>TOTAL REVENUE</t>
  </si>
  <si>
    <t>OPERATING INPUTS</t>
  </si>
  <si>
    <t>TOTAL OPERATING COSTS</t>
  </si>
  <si>
    <t>TOTAL OWNERSHIP COSTS</t>
  </si>
  <si>
    <t>LABOR COSTS</t>
  </si>
  <si>
    <t xml:space="preserve">   RETURNS OVER OPERATING EXPENSES</t>
  </si>
  <si>
    <t>DITI</t>
  </si>
  <si>
    <t>--</t>
  </si>
  <si>
    <t>REVENUE</t>
  </si>
  <si>
    <t>Base</t>
  </si>
  <si>
    <t>Lower</t>
  </si>
  <si>
    <t>Budget</t>
  </si>
  <si>
    <t>Higher</t>
  </si>
  <si>
    <t>COST</t>
  </si>
  <si>
    <t>+ 10%</t>
  </si>
  <si>
    <t>TOTAL LABOR COST</t>
  </si>
  <si>
    <t xml:space="preserve">TOTAL COST </t>
  </si>
  <si>
    <t>Share to</t>
  </si>
  <si>
    <t>Enterprise</t>
  </si>
  <si>
    <t>%</t>
  </si>
  <si>
    <t xml:space="preserve">   Fence &amp; Water Repair</t>
  </si>
  <si>
    <t>Interest rate, annual</t>
  </si>
  <si>
    <t>TOTAL</t>
  </si>
  <si>
    <r>
      <t xml:space="preserve">c </t>
    </r>
    <r>
      <rPr>
        <sz val="10"/>
        <rFont val="Arial"/>
        <family val="2"/>
      </rPr>
      <t xml:space="preserve">Property taxes and insurance on facilities and equipment = Initial investment X tax + insurance rates specified.  </t>
    </r>
  </si>
  <si>
    <r>
      <t xml:space="preserve">b </t>
    </r>
    <r>
      <rPr>
        <sz val="10"/>
        <rFont val="Arial"/>
        <family val="2"/>
      </rPr>
      <t>Interest on average investment = ((Initial cost + Salvage value) / 2) X interest rate specified</t>
    </r>
  </si>
  <si>
    <t xml:space="preserve">Operation </t>
  </si>
  <si>
    <t>Horse</t>
  </si>
  <si>
    <t>Repairs</t>
  </si>
  <si>
    <t>Est. Fuel</t>
  </si>
  <si>
    <t>Fuel</t>
  </si>
  <si>
    <t>Fuel &amp;</t>
  </si>
  <si>
    <t xml:space="preserve">Hours of </t>
  </si>
  <si>
    <t>Total Op.</t>
  </si>
  <si>
    <t>Labor</t>
  </si>
  <si>
    <t>and Item</t>
  </si>
  <si>
    <t>Power</t>
  </si>
  <si>
    <r>
      <t>&amp; Maint.</t>
    </r>
    <r>
      <rPr>
        <b/>
        <vertAlign val="superscript"/>
        <sz val="10"/>
        <rFont val="Arial"/>
        <family val="2"/>
      </rPr>
      <t>a</t>
    </r>
  </si>
  <si>
    <t>&amp; Maint.</t>
  </si>
  <si>
    <t>Use</t>
  </si>
  <si>
    <r>
      <t>Lube</t>
    </r>
    <r>
      <rPr>
        <b/>
        <vertAlign val="superscript"/>
        <sz val="10"/>
        <rFont val="Arial"/>
        <family val="2"/>
      </rPr>
      <t>b</t>
    </r>
  </si>
  <si>
    <r>
      <t>Cost</t>
    </r>
    <r>
      <rPr>
        <b/>
        <vertAlign val="superscript"/>
        <sz val="10"/>
        <rFont val="Arial"/>
        <family val="2"/>
      </rPr>
      <t>c</t>
    </r>
  </si>
  <si>
    <t>Expense</t>
  </si>
  <si>
    <t>$/Year</t>
  </si>
  <si>
    <t>Gals/hr</t>
  </si>
  <si>
    <t>$/Hour</t>
  </si>
  <si>
    <t>Hours</t>
  </si>
  <si>
    <t>Fuel cost per gallon &amp; Labor cost per hour ====&gt;</t>
  </si>
  <si>
    <r>
      <t xml:space="preserve">a </t>
    </r>
    <r>
      <rPr>
        <sz val="10"/>
        <rFont val="Arial"/>
        <family val="2"/>
      </rPr>
      <t xml:space="preserve">Repairs and maintenance costs are calculated as a % of the initial cost in Table 1.  Percentages are higher for equipment that is bought used. </t>
    </r>
  </si>
  <si>
    <r>
      <t xml:space="preserve">b </t>
    </r>
    <r>
      <rPr>
        <sz val="10"/>
        <rFont val="Arial"/>
        <family val="2"/>
      </rPr>
      <t>Fuel cost plus lube costs estimated as 15% of the fuel cost.</t>
    </r>
  </si>
  <si>
    <t>Table 1.  Investment in specialized facilities &amp; equipment and pro-rated share of annual ownership expenses</t>
  </si>
  <si>
    <t xml:space="preserve">Tractor </t>
  </si>
  <si>
    <t xml:space="preserve">Other equipment </t>
  </si>
  <si>
    <t>Use/Year</t>
  </si>
  <si>
    <t>Cost/Year</t>
  </si>
  <si>
    <t>Table 3. SENSITIVITY ANALYSIS</t>
  </si>
  <si>
    <t>From Table 2</t>
  </si>
  <si>
    <t xml:space="preserve">   Machinery operator labor, From Table 2</t>
  </si>
  <si>
    <r>
      <t xml:space="preserve">c </t>
    </r>
    <r>
      <rPr>
        <sz val="10"/>
        <rFont val="Arial"/>
        <family val="2"/>
      </rPr>
      <t>Labor cost or charge includes an additional 15% allowance for inspection, equipment adjustments, cleaning up, travel. etc.  Include labor</t>
    </r>
  </si>
  <si>
    <t>that does not require equipment as "Livestock labor" directly in the budget, e..g, working cattle, moving fence, checking cattle.</t>
  </si>
  <si>
    <t xml:space="preserve">   Facilities Repair</t>
  </si>
  <si>
    <t>Other facilities</t>
  </si>
  <si>
    <t xml:space="preserve">   Equipment operating</t>
  </si>
  <si>
    <r>
      <t xml:space="preserve">   Annual operating capital</t>
    </r>
    <r>
      <rPr>
        <vertAlign val="superscript"/>
        <sz val="10"/>
        <rFont val="Arial"/>
        <family val="2"/>
      </rPr>
      <t>b</t>
    </r>
  </si>
  <si>
    <r>
      <t xml:space="preserve">b </t>
    </r>
    <r>
      <rPr>
        <sz val="10"/>
        <rFont val="Arial"/>
        <family val="2"/>
      </rPr>
      <t>Interest calculated on one-half of operating input costs, except sales expense.</t>
    </r>
  </si>
  <si>
    <r>
      <t>GROSS REVENUE</t>
    </r>
    <r>
      <rPr>
        <vertAlign val="superscript"/>
        <sz val="10"/>
        <rFont val="Arial"/>
        <family val="2"/>
      </rPr>
      <t>c</t>
    </r>
  </si>
  <si>
    <t>Comments</t>
  </si>
  <si>
    <t>% of initial investment</t>
  </si>
  <si>
    <t xml:space="preserve">OWNERSHIP COSTS </t>
  </si>
  <si>
    <t xml:space="preserve">   Minerals</t>
  </si>
  <si>
    <t>Head</t>
  </si>
  <si>
    <t xml:space="preserve">   Sales Comm. &amp; transport</t>
  </si>
  <si>
    <t>Work, check livestock</t>
  </si>
  <si>
    <t>Depreciation, interest, prop. tax, insurance</t>
  </si>
  <si>
    <t>Interest, prop. tax, insurance</t>
  </si>
  <si>
    <t xml:space="preserve">   Miscellaneous</t>
  </si>
  <si>
    <t>General purpose bldg.</t>
  </si>
  <si>
    <t>Handling facilities</t>
  </si>
  <si>
    <t>4-wheeler</t>
  </si>
  <si>
    <t xml:space="preserve">Pickup </t>
  </si>
  <si>
    <t>+ stock trailer</t>
  </si>
  <si>
    <t xml:space="preserve">   Facilities, fencing, water</t>
  </si>
  <si>
    <t xml:space="preserve">   Livestock</t>
  </si>
  <si>
    <t>Interest and Tax + Insurance Rates==&gt;</t>
  </si>
  <si>
    <t>Date Prepared</t>
  </si>
  <si>
    <t xml:space="preserve">   Other</t>
  </si>
  <si>
    <t>E.g., Predator control</t>
  </si>
  <si>
    <r>
      <t>a</t>
    </r>
    <r>
      <rPr>
        <sz val="10"/>
        <rFont val="Arial"/>
        <family val="2"/>
      </rPr>
      <t xml:space="preserve"> Annual operating costs can be actual costs or estimated using NCSU or other Forage Enterprise Budgets.</t>
    </r>
  </si>
  <si>
    <t xml:space="preserve">  Sale prices vary with type of market outlet, time of year, weight, frame, and fleshiness.</t>
  </si>
  <si>
    <t xml:space="preserve">expenses, asset ownership (fixed) costs, and returns to land, overhead and management. </t>
  </si>
  <si>
    <t xml:space="preserve">   Creep feed</t>
  </si>
  <si>
    <t xml:space="preserve">   Other feed</t>
  </si>
  <si>
    <t xml:space="preserve">   Vaccines, dewormers, meds</t>
  </si>
  <si>
    <t xml:space="preserve">   Vet services</t>
  </si>
  <si>
    <t xml:space="preserve">   Supplies</t>
  </si>
  <si>
    <t xml:space="preserve">   Breeding stock</t>
  </si>
  <si>
    <t xml:space="preserve">   Cull sows</t>
  </si>
  <si>
    <t xml:space="preserve">   Boars</t>
  </si>
  <si>
    <t>"    "</t>
  </si>
  <si>
    <t xml:space="preserve">   Average No. of Sows</t>
  </si>
  <si>
    <t xml:space="preserve">   No. of Acres</t>
  </si>
  <si>
    <r>
      <t>Sows</t>
    </r>
    <r>
      <rPr>
        <vertAlign val="superscript"/>
        <sz val="10"/>
        <rFont val="Arial"/>
        <family val="2"/>
      </rPr>
      <t>e</t>
    </r>
  </si>
  <si>
    <r>
      <t>Boars</t>
    </r>
    <r>
      <rPr>
        <vertAlign val="superscript"/>
        <sz val="10"/>
        <rFont val="Arial"/>
        <family val="2"/>
      </rPr>
      <t>e</t>
    </r>
  </si>
  <si>
    <r>
      <t xml:space="preserve">e </t>
    </r>
    <r>
      <rPr>
        <sz val="10"/>
        <rFont val="Arial"/>
        <family val="2"/>
      </rPr>
      <t>Sows and boars are not depreciated.  Cost of maintaining the herd are captured through replacement purchases and cull animal sales.</t>
    </r>
  </si>
  <si>
    <t xml:space="preserve">   Sow Feed 1</t>
  </si>
  <si>
    <t xml:space="preserve">   Sow Feed 2</t>
  </si>
  <si>
    <t>Gestation</t>
  </si>
  <si>
    <t>Lactation</t>
  </si>
  <si>
    <t xml:space="preserve">   Boar feed</t>
  </si>
  <si>
    <t>In feed</t>
  </si>
  <si>
    <t>Buyer pays</t>
  </si>
  <si>
    <t>Sow huts</t>
  </si>
  <si>
    <t>+ front end loader</t>
  </si>
  <si>
    <t>Feeders, Feed Storage</t>
  </si>
  <si>
    <t>1 Boar, 8 gilts</t>
  </si>
  <si>
    <t>Note numbers, weight, etc</t>
  </si>
  <si>
    <t>Predator control animal</t>
  </si>
  <si>
    <t>Feeding, pasture &amp; livestock management:</t>
  </si>
  <si>
    <t>+ spinner seeder</t>
  </si>
  <si>
    <t>+ blade or harrow</t>
  </si>
  <si>
    <t>Budget Sows-OSO1</t>
  </si>
  <si>
    <r>
      <t xml:space="preserve">Outdoor Hogs: Drylot Farrow-to-Finish.  </t>
    </r>
    <r>
      <rPr>
        <sz val="12"/>
        <rFont val="Arial"/>
        <family val="2"/>
      </rPr>
      <t>A template to estimate annual revenue, operating</t>
    </r>
  </si>
  <si>
    <t>Price/Unit</t>
  </si>
  <si>
    <t xml:space="preserve">   Cover crop</t>
  </si>
  <si>
    <t>Winter annual</t>
  </si>
  <si>
    <r>
      <t xml:space="preserve">c </t>
    </r>
    <r>
      <rPr>
        <sz val="10"/>
        <rFont val="Arial"/>
        <family val="2"/>
      </rPr>
      <t>Revenues from sales of feeder pigs and cull breeding stock depend on numbers, pay weight at sale and price.</t>
    </r>
  </si>
  <si>
    <t xml:space="preserve">G.A. Benson, Professor Emeritus, NCSU, and </t>
  </si>
  <si>
    <t xml:space="preserve">Spreadsheet and data developed by </t>
  </si>
  <si>
    <t>J.T. Green, Jr., Professor Emeritus, NCSU.</t>
  </si>
  <si>
    <t>Internal fence</t>
  </si>
  <si>
    <r>
      <t>Facilities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0"/>
      </rPr>
      <t>:</t>
    </r>
  </si>
  <si>
    <r>
      <t xml:space="preserve">d </t>
    </r>
    <r>
      <rPr>
        <sz val="10"/>
        <rFont val="Arial"/>
        <family val="2"/>
      </rPr>
      <t>Specialized hog facilities and equipment are movable to facilitate the subsequent cropping on the area used by the hogs.</t>
    </r>
  </si>
  <si>
    <t>BLOCK 1</t>
  </si>
  <si>
    <t>Lact</t>
  </si>
  <si>
    <t>Grow &amp; Finish</t>
  </si>
  <si>
    <t>SOWS</t>
  </si>
  <si>
    <t>GROWING AND FINISHING</t>
  </si>
  <si>
    <t>ACCESS</t>
  </si>
  <si>
    <t>BLOCK 2</t>
  </si>
  <si>
    <t>BLOCK 3</t>
  </si>
  <si>
    <t>SLOPE</t>
  </si>
  <si>
    <t xml:space="preserve">  HOGS IN YEAR 1</t>
  </si>
  <si>
    <t xml:space="preserve">  CROPS IN YEARS 2 AND 3</t>
  </si>
  <si>
    <t xml:space="preserve">  HOGS IN YEAR 2</t>
  </si>
  <si>
    <t xml:space="preserve">  CROPS IN YEARS 1 AND 3</t>
  </si>
  <si>
    <t xml:space="preserve">  HOGS IN YEAR 3</t>
  </si>
  <si>
    <t xml:space="preserve">  CROPS IN YEARS 1 AND 2</t>
  </si>
  <si>
    <t>BUFFER</t>
  </si>
  <si>
    <t xml:space="preserve">  IN CROPS OR PASTURE</t>
  </si>
  <si>
    <t xml:space="preserve">  ALL 3 YEARS</t>
  </si>
  <si>
    <t>Breeding</t>
  </si>
  <si>
    <t xml:space="preserve"> Water Lines ====&gt;</t>
  </si>
  <si>
    <t>Site Plan for Drylot Farrow-to-Finish hog operation enterprise budget</t>
  </si>
  <si>
    <t>Assumes 24 sows, 2 Boars, 2 litters per sow per year, 7 pigs weaned per litter, 3% death loss after weaning, 326 finished hogs sold per year.</t>
  </si>
  <si>
    <t>ANIMAL NUMBERS, ANNUAL</t>
  </si>
  <si>
    <t>Number</t>
  </si>
  <si>
    <t>Average no. of sows</t>
  </si>
  <si>
    <t>Average no. of boars</t>
  </si>
  <si>
    <t>Avg. no. of litters/sow/year</t>
  </si>
  <si>
    <t>Avg. no. of live pigs born/litter</t>
  </si>
  <si>
    <t>Avg. no. of live pigs weaned/litter</t>
  </si>
  <si>
    <t>Avg. age at weaning, days</t>
  </si>
  <si>
    <t>Avg. wt. at weaning, lb/head</t>
  </si>
  <si>
    <t>Total no. of weaned pig produced</t>
  </si>
  <si>
    <t>No. of weaned pigs sold/yr</t>
  </si>
  <si>
    <t>Avg. wt. of pigs sold, lb/head</t>
  </si>
  <si>
    <t>No. of weaned pigs bought/yr</t>
  </si>
  <si>
    <t>Avg. wt. of pigs bought, lb/head</t>
  </si>
  <si>
    <t>No. of pigs retained to feed/year</t>
  </si>
  <si>
    <t>Avg. wt. of pigs retained, lb/head</t>
  </si>
  <si>
    <t>Sows died or culled, head/year</t>
  </si>
  <si>
    <t>Replacement gilts raised, head/year</t>
  </si>
  <si>
    <t>Feeding</t>
  </si>
  <si>
    <t>No. of weaned pigs retained to feed/year</t>
  </si>
  <si>
    <t>Avg. wt. of weaned pigs retained, lb/head</t>
  </si>
  <si>
    <t>No. of feeder pigs bought/yr</t>
  </si>
  <si>
    <t>Avg. wt. of feeder pigs bought, lb/head</t>
  </si>
  <si>
    <t>Avg. age of feeder pigs sold, days</t>
  </si>
  <si>
    <t>Death loss, %</t>
  </si>
  <si>
    <t>No. of top hogs sold, head</t>
  </si>
  <si>
    <t>Avg. wt. of top hogs sold, lb/head</t>
  </si>
  <si>
    <t>ANNUAL FEED BUDGET</t>
  </si>
  <si>
    <t>Type of hog</t>
  </si>
  <si>
    <t xml:space="preserve">Number </t>
  </si>
  <si>
    <t>Average</t>
  </si>
  <si>
    <t>End weight,</t>
  </si>
  <si>
    <t>Feed</t>
  </si>
  <si>
    <t>Waste</t>
  </si>
  <si>
    <t>Total Feed</t>
  </si>
  <si>
    <t>Feed Price</t>
  </si>
  <si>
    <t>Avg. Cost</t>
  </si>
  <si>
    <t>Avg. feed</t>
  </si>
  <si>
    <t>of head</t>
  </si>
  <si>
    <t>Weight, lb/hd</t>
  </si>
  <si>
    <t>live, lb/hd</t>
  </si>
  <si>
    <t>lb/hd/day</t>
  </si>
  <si>
    <t>Cwt/year</t>
  </si>
  <si>
    <t>$/Cwt</t>
  </si>
  <si>
    <t>$/year</t>
  </si>
  <si>
    <t>$/litter</t>
  </si>
  <si>
    <t>lb/litter</t>
  </si>
  <si>
    <t>Boar</t>
  </si>
  <si>
    <t>Dry/open sow</t>
  </si>
  <si>
    <t>Pregnant sow - early</t>
  </si>
  <si>
    <t>Pregnant sow - late</t>
  </si>
  <si>
    <t>Lactating --  sow only</t>
  </si>
  <si>
    <t>+ Lactating sow/Piglet</t>
  </si>
  <si>
    <t>Piglet creep feed</t>
  </si>
  <si>
    <t>Start weight,</t>
  </si>
  <si>
    <t>Avg. Weight</t>
  </si>
  <si>
    <t>Days on</t>
  </si>
  <si>
    <t>Feed Cost</t>
  </si>
  <si>
    <t>lb/hd</t>
  </si>
  <si>
    <t>per head, $</t>
  </si>
  <si>
    <t>Growing pigs -- raised</t>
  </si>
  <si>
    <t>Growing pigs -- bought</t>
  </si>
  <si>
    <t>OR total grow and finish</t>
  </si>
  <si>
    <t>Gilts retained to breed</t>
  </si>
  <si>
    <t>SUMMARY</t>
  </si>
  <si>
    <t>lb</t>
  </si>
  <si>
    <t>TOTAL FEED PER  RAISED TOP HOG SOLD</t>
  </si>
  <si>
    <t>ADDED FEED PER GILT RETAINED FOR BREEDING</t>
  </si>
  <si>
    <t>Perimeter fence, gates</t>
  </si>
  <si>
    <t xml:space="preserve">   Finished male hogs</t>
  </si>
  <si>
    <t xml:space="preserve">   Finished female hogs</t>
  </si>
  <si>
    <t xml:space="preserve">   Male feeder pigs</t>
  </si>
  <si>
    <t xml:space="preserve">   Female feeder pigs</t>
  </si>
  <si>
    <t>163 head at 250 lb/head</t>
  </si>
  <si>
    <t xml:space="preserve">   Gilts for breeding stock</t>
  </si>
  <si>
    <t xml:space="preserve">   Sow Feed 3</t>
  </si>
  <si>
    <t>Dry, open</t>
  </si>
  <si>
    <t>Year</t>
  </si>
  <si>
    <t xml:space="preserve">   Finishing hog feed</t>
  </si>
  <si>
    <t xml:space="preserve">   Growing hog feed</t>
  </si>
  <si>
    <t>DRYLOT FARROW-TO-FINISH HOG ENTERPRISE BUDGET</t>
  </si>
  <si>
    <t>feed/cycle</t>
  </si>
  <si>
    <t>No. of</t>
  </si>
  <si>
    <t>cycles/year</t>
  </si>
  <si>
    <t>Per sow and boar</t>
  </si>
  <si>
    <t>Bedding, per sow</t>
  </si>
  <si>
    <t xml:space="preserve">   Machinery &amp; equipment</t>
  </si>
  <si>
    <t>Movable Shelters</t>
  </si>
  <si>
    <t>Table 2. Operating expense for machinery and equipment used in the enterprise</t>
  </si>
  <si>
    <t>Enterprise Cost Pie Chart</t>
  </si>
  <si>
    <t>does not include land for buffers, sacrifice areas, access lanes, or farm buildings.</t>
  </si>
  <si>
    <t>Expense Category</t>
  </si>
  <si>
    <t>Ownership cost</t>
  </si>
  <si>
    <t>Feed lb</t>
  </si>
  <si>
    <t>per head</t>
  </si>
  <si>
    <t>Finishing pigs, all</t>
  </si>
  <si>
    <t>Sow Feed Per Litter of Weaned Pige</t>
  </si>
  <si>
    <t>Feed Per Weaned Pig Raised</t>
  </si>
  <si>
    <t>Grower Feed Per Raised Grower Hog</t>
  </si>
  <si>
    <t>Grower Feed Per Bought Grower Hog</t>
  </si>
  <si>
    <t>Total Grower and Finishing Feed Per Raised Grower Hog</t>
  </si>
  <si>
    <t>Total Grower and Finishing Feed per Bought Grower Hog</t>
  </si>
  <si>
    <t>Feed for Finishing Hogs, Bought or Raised, Per Hog</t>
  </si>
  <si>
    <t>OR Total Grower and Finishing Feed Per Hog (Not Both)</t>
  </si>
  <si>
    <t xml:space="preserve">Sows farrow year round in order to supply the needs of the market.  Sows farrow in groups of 4 EACH MONTH and finishing hogs are grouped by age </t>
  </si>
  <si>
    <t xml:space="preserve">of production.  Each paddock has a watering point, feeders and artificial shade.  Paddock size is calculated to distribute the nutrients produced by the </t>
  </si>
  <si>
    <t>A</t>
  </si>
  <si>
    <t>C</t>
  </si>
  <si>
    <t>E</t>
  </si>
  <si>
    <t>S</t>
  </si>
  <si>
    <t>5 acres</t>
  </si>
  <si>
    <t>11 acres</t>
  </si>
  <si>
    <t>Boars</t>
  </si>
  <si>
    <t>0.29 ac</t>
  </si>
  <si>
    <t>1.02 ac</t>
  </si>
  <si>
    <t>1.09 ac</t>
  </si>
  <si>
    <t>1.83 acres</t>
  </si>
  <si>
    <t>1.83 ac</t>
  </si>
  <si>
    <t>1.8 ac</t>
  </si>
  <si>
    <t>0.49 acre</t>
  </si>
  <si>
    <t>hogs evenly across the block.  Fences are electrified 3-wire that can be moved each year.  Internal fences can be moved if needed to accommodate</t>
  </si>
  <si>
    <t>livestock needs. At least two years of  crops follow the hogs to remove nutrients.  A minimum of four blocks of land are required, three for the</t>
  </si>
  <si>
    <t>hogs-crops-crops rotation and an additional buffer on the low side of the slope(s) to trap soil and nutrients lost from the third (lowest) drylot block.</t>
  </si>
  <si>
    <t>LAYOUT OF HOG AND CROPS UNIT</t>
  </si>
  <si>
    <t>Grower, other feed</t>
  </si>
  <si>
    <t xml:space="preserve">   RETURNS OVER OPERATING EXPENSES AND OWNERSHIP COSTS</t>
  </si>
  <si>
    <r>
      <t xml:space="preserve">   RETURNS OVER ALL LISTED EXPENSES</t>
    </r>
    <r>
      <rPr>
        <vertAlign val="superscript"/>
        <sz val="10"/>
        <rFont val="Arial"/>
        <family val="2"/>
      </rPr>
      <t>d</t>
    </r>
  </si>
  <si>
    <t xml:space="preserve">   RETURNS OVER ALL LISTED EXPENSES PER SOW</t>
  </si>
  <si>
    <t xml:space="preserve">   RETURNS OVER ALL LISTED EXPENSES PER ACRE</t>
  </si>
  <si>
    <t>+ other tractor equip.</t>
  </si>
  <si>
    <t>Feed budget data for enterprise budgeting.</t>
  </si>
  <si>
    <t>Prepared by Geoff Benson, Professor Emeritus, NC State University, June 2011</t>
  </si>
  <si>
    <t xml:space="preserve">This table shows the net returns over all listed expenses (also called returns to land, overhead, management and </t>
  </si>
  <si>
    <t xml:space="preserve">shown in the enterprise budget on the first page are believed to be fairly representative of conditions in North Carolina. </t>
  </si>
  <si>
    <t>NET RETURNS ABOVE ALL LISTED ESPENSES (Returns to land, overhead, management and risk):</t>
  </si>
  <si>
    <t>Other operating expense</t>
  </si>
  <si>
    <t>Labor, all</t>
  </si>
  <si>
    <t>24 sows and 2 boars managed on 16 acres of drylot in rotation with crops.  Land for hogs</t>
  </si>
  <si>
    <r>
      <rPr>
        <vertAlign val="superscript"/>
        <sz val="10"/>
        <rFont val="Arial"/>
        <family val="2"/>
      </rPr>
      <t xml:space="preserve">d </t>
    </r>
    <r>
      <rPr>
        <sz val="10"/>
        <rFont val="Arial"/>
        <family val="2"/>
      </rPr>
      <t>Returns to Land, Overhead, Management, and Risk</t>
    </r>
  </si>
  <si>
    <t>These percentages may be changed by the user.</t>
  </si>
  <si>
    <t>August 2011</t>
  </si>
  <si>
    <t>Total lactation feed</t>
  </si>
  <si>
    <t>Total gestation feed</t>
  </si>
  <si>
    <t>and size.  Each drylot block is 16 acres and hogs remain on a drylot for 12 months.  There are 12 paddocks for hogs and hogs are grouped by stage</t>
  </si>
  <si>
    <t>Sow &amp; boar feed</t>
  </si>
  <si>
    <t>Enter your data in the yellow highlighted cells.  Calculations from these data are in protected cells not highlighted.</t>
  </si>
  <si>
    <t>Note:  Feed cost calculations from this feed budget are NOT linked to the main budget to allow the user the flexibility</t>
  </si>
  <si>
    <t xml:space="preserve"> to use alternative approaches to feed budgeting.</t>
  </si>
  <si>
    <t>risk) a measure of profit, under various assumptions about costs and returns.  Specifically, the cost and returns</t>
  </si>
  <si>
    <t>However, there is a wide variation in farm performance from one farm to another and costs and sale prices can</t>
  </si>
  <si>
    <t>change rapidly from year-to-year.  The table shows the effects of returns that are 10 percent higher and lower than</t>
  </si>
  <si>
    <t>for the base budget.  Similarly, the effects of total costs that are 10 percent higher and lower are shown also.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</si>
</sst>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0000"/>
    <numFmt numFmtId="166" formatCode="0.0000"/>
    <numFmt numFmtId="167" formatCode="0.000"/>
    <numFmt numFmtId="168" formatCode="0.0"/>
    <numFmt numFmtId="169" formatCode="&quot;$&quot;#,##0.00"/>
    <numFmt numFmtId="170" formatCode="#,##0.000_);\(#,##0.000\)"/>
    <numFmt numFmtId="171" formatCode="&quot;$&quot;#,##0"/>
    <numFmt numFmtId="172" formatCode="0.0%"/>
    <numFmt numFmtId="173" formatCode="#,##0.0"/>
    <numFmt numFmtId="174" formatCode="[$-409]dddd\,\ mmmm\ dd\,\ yyyy"/>
    <numFmt numFmtId="175" formatCode="m/d/yy;@"/>
    <numFmt numFmtId="176" formatCode="[$-409]mmm\-yy;@"/>
    <numFmt numFmtId="177" formatCode="[$-409]mmmm\-yy;@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left"/>
    </xf>
    <xf numFmtId="7" fontId="0" fillId="0" borderId="0" xfId="0" applyNumberFormat="1" applyBorder="1" applyAlignment="1">
      <alignment/>
    </xf>
    <xf numFmtId="0" fontId="4" fillId="0" borderId="0" xfId="0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7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7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169" fontId="0" fillId="0" borderId="10" xfId="0" applyNumberFormat="1" applyBorder="1" applyAlignment="1">
      <alignment horizontal="right"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Alignment="1" quotePrefix="1">
      <alignment horizontal="right"/>
    </xf>
    <xf numFmtId="171" fontId="7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0" xfId="0" applyNumberFormat="1" applyBorder="1" applyAlignment="1">
      <alignment horizontal="right"/>
    </xf>
    <xf numFmtId="0" fontId="0" fillId="0" borderId="0" xfId="0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 quotePrefix="1">
      <alignment horizontal="right"/>
    </xf>
    <xf numFmtId="0" fontId="0" fillId="0" borderId="0" xfId="0" applyFill="1" applyBorder="1" applyAlignment="1">
      <alignment horizontal="center"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7" fontId="0" fillId="33" borderId="0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right"/>
      <protection locked="0"/>
    </xf>
    <xf numFmtId="172" fontId="0" fillId="33" borderId="0" xfId="0" applyNumberFormat="1" applyFill="1" applyAlignment="1" applyProtection="1">
      <alignment horizontal="center"/>
      <protection locked="0"/>
    </xf>
    <xf numFmtId="10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 applyProtection="1">
      <alignment/>
      <protection locked="0"/>
    </xf>
    <xf numFmtId="2" fontId="0" fillId="33" borderId="0" xfId="0" applyNumberFormat="1" applyFont="1" applyFill="1" applyAlignment="1" applyProtection="1">
      <alignment/>
      <protection locked="0"/>
    </xf>
    <xf numFmtId="9" fontId="0" fillId="33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 quotePrefix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quotePrefix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2" fontId="0" fillId="35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12" fillId="33" borderId="0" xfId="0" applyFont="1" applyFill="1" applyAlignment="1" applyProtection="1">
      <alignment horizontal="left"/>
      <protection locked="0"/>
    </xf>
    <xf numFmtId="0" fontId="0" fillId="36" borderId="10" xfId="0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37" borderId="0" xfId="0" applyFill="1" applyBorder="1" applyAlignment="1">
      <alignment/>
    </xf>
    <xf numFmtId="168" fontId="0" fillId="33" borderId="0" xfId="0" applyNumberFormat="1" applyFill="1" applyBorder="1" applyAlignment="1" applyProtection="1">
      <alignment horizontal="right"/>
      <protection locked="0"/>
    </xf>
    <xf numFmtId="168" fontId="0" fillId="33" borderId="0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9" fontId="0" fillId="0" borderId="0" xfId="0" applyNumberForma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 quotePrefix="1">
      <alignment horizontal="left"/>
      <protection locked="0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22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7" borderId="3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31" xfId="0" applyFill="1" applyBorder="1" applyAlignment="1">
      <alignment/>
    </xf>
    <xf numFmtId="0" fontId="0" fillId="0" borderId="0" xfId="0" applyFont="1" applyBorder="1" applyAlignment="1">
      <alignment/>
    </xf>
    <xf numFmtId="0" fontId="0" fillId="10" borderId="17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31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9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21" xfId="0" applyFill="1" applyBorder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8" fillId="37" borderId="0" xfId="0" applyFont="1" applyFill="1" applyAlignment="1" applyProtection="1">
      <alignment horizontal="center"/>
      <protection/>
    </xf>
    <xf numFmtId="0" fontId="58" fillId="37" borderId="0" xfId="0" applyFont="1" applyFill="1" applyAlignment="1" applyProtection="1">
      <alignment horizontal="center"/>
      <protection locked="0"/>
    </xf>
    <xf numFmtId="171" fontId="0" fillId="0" borderId="0" xfId="0" applyNumberFormat="1" applyFill="1" applyBorder="1" applyAlignment="1">
      <alignment horizontal="right"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>
      <alignment/>
    </xf>
    <xf numFmtId="0" fontId="12" fillId="33" borderId="10" xfId="0" applyFont="1" applyFill="1" applyBorder="1" applyAlignment="1" applyProtection="1">
      <alignment/>
      <protection locked="0"/>
    </xf>
    <xf numFmtId="0" fontId="13" fillId="0" borderId="32" xfId="0" applyFont="1" applyBorder="1" applyAlignment="1">
      <alignment/>
    </xf>
    <xf numFmtId="0" fontId="0" fillId="0" borderId="32" xfId="0" applyBorder="1" applyAlignment="1">
      <alignment/>
    </xf>
    <xf numFmtId="0" fontId="11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Border="1" applyAlignment="1" applyProtection="1">
      <alignment/>
      <protection/>
    </xf>
    <xf numFmtId="168" fontId="58" fillId="37" borderId="0" xfId="0" applyNumberFormat="1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/>
      <protection/>
    </xf>
    <xf numFmtId="172" fontId="58" fillId="37" borderId="0" xfId="0" applyNumberFormat="1" applyFont="1" applyFill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7" borderId="26" xfId="0" applyFill="1" applyBorder="1" applyAlignment="1">
      <alignment/>
    </xf>
    <xf numFmtId="172" fontId="0" fillId="0" borderId="0" xfId="0" applyNumberFormat="1" applyBorder="1" applyAlignment="1">
      <alignment horizontal="center"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169" fontId="36" fillId="0" borderId="0" xfId="0" applyNumberFormat="1" applyFont="1" applyAlignment="1">
      <alignment horizontal="center"/>
    </xf>
    <xf numFmtId="169" fontId="36" fillId="0" borderId="0" xfId="0" applyNumberFormat="1" applyFont="1" applyFill="1" applyAlignment="1">
      <alignment horizontal="center"/>
    </xf>
    <xf numFmtId="0" fontId="60" fillId="0" borderId="0" xfId="0" applyFont="1" applyAlignment="1" applyProtection="1">
      <alignment/>
      <protection/>
    </xf>
    <xf numFmtId="0" fontId="60" fillId="37" borderId="0" xfId="0" applyFont="1" applyFill="1" applyAlignment="1" applyProtection="1">
      <alignment/>
      <protection/>
    </xf>
    <xf numFmtId="0" fontId="58" fillId="37" borderId="0" xfId="0" applyFont="1" applyFill="1" applyAlignment="1" applyProtection="1">
      <alignment/>
      <protection/>
    </xf>
    <xf numFmtId="1" fontId="58" fillId="0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172" fontId="38" fillId="0" borderId="0" xfId="0" applyNumberFormat="1" applyFont="1" applyAlignment="1" applyProtection="1">
      <alignment horizontal="center"/>
      <protection/>
    </xf>
    <xf numFmtId="0" fontId="38" fillId="0" borderId="0" xfId="0" applyFont="1" applyFill="1" applyAlignment="1" applyProtection="1">
      <alignment horizontal="center"/>
      <protection/>
    </xf>
    <xf numFmtId="0" fontId="38" fillId="37" borderId="0" xfId="0" applyFont="1" applyFill="1" applyAlignment="1" applyProtection="1">
      <alignment horizontal="center"/>
      <protection locked="0"/>
    </xf>
    <xf numFmtId="168" fontId="38" fillId="37" borderId="0" xfId="0" applyNumberFormat="1" applyFont="1" applyFill="1" applyAlignment="1" applyProtection="1">
      <alignment horizontal="center"/>
      <protection locked="0"/>
    </xf>
    <xf numFmtId="172" fontId="38" fillId="37" borderId="0" xfId="0" applyNumberFormat="1" applyFont="1" applyFill="1" applyAlignment="1" applyProtection="1">
      <alignment horizontal="center"/>
      <protection locked="0"/>
    </xf>
    <xf numFmtId="173" fontId="38" fillId="0" borderId="0" xfId="0" applyNumberFormat="1" applyFont="1" applyFill="1" applyAlignment="1" applyProtection="1">
      <alignment horizontal="center"/>
      <protection/>
    </xf>
    <xf numFmtId="169" fontId="38" fillId="37" borderId="0" xfId="0" applyNumberFormat="1" applyFont="1" applyFill="1" applyAlignment="1" applyProtection="1">
      <alignment horizontal="center"/>
      <protection locked="0"/>
    </xf>
    <xf numFmtId="171" fontId="38" fillId="0" borderId="0" xfId="0" applyNumberFormat="1" applyFont="1" applyFill="1" applyAlignment="1" applyProtection="1">
      <alignment horizontal="center"/>
      <protection/>
    </xf>
    <xf numFmtId="169" fontId="38" fillId="0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 applyProtection="1" quotePrefix="1">
      <alignment/>
      <protection/>
    </xf>
    <xf numFmtId="0" fontId="38" fillId="0" borderId="0" xfId="0" applyFont="1" applyFill="1" applyAlignment="1" applyProtection="1">
      <alignment/>
      <protection/>
    </xf>
    <xf numFmtId="168" fontId="38" fillId="0" borderId="0" xfId="0" applyNumberFormat="1" applyFont="1" applyFill="1" applyAlignment="1" applyProtection="1">
      <alignment horizontal="center"/>
      <protection/>
    </xf>
    <xf numFmtId="169" fontId="38" fillId="0" borderId="0" xfId="0" applyNumberFormat="1" applyFont="1" applyAlignment="1" applyProtection="1">
      <alignment horizontal="center"/>
      <protection/>
    </xf>
    <xf numFmtId="3" fontId="38" fillId="0" borderId="0" xfId="0" applyNumberFormat="1" applyFont="1" applyFill="1" applyAlignment="1" applyProtection="1">
      <alignment horizontal="center"/>
      <protection/>
    </xf>
    <xf numFmtId="3" fontId="38" fillId="0" borderId="0" xfId="0" applyNumberFormat="1" applyFont="1" applyAlignment="1" applyProtection="1">
      <alignment horizontal="center"/>
      <protection/>
    </xf>
    <xf numFmtId="168" fontId="38" fillId="37" borderId="0" xfId="0" applyNumberFormat="1" applyFont="1" applyFill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9" fillId="33" borderId="0" xfId="0" applyNumberFormat="1" applyFont="1" applyFill="1" applyAlignment="1" applyProtection="1">
      <alignment horizontal="center"/>
      <protection locked="0"/>
    </xf>
    <xf numFmtId="9" fontId="9" fillId="33" borderId="0" xfId="0" applyNumberFormat="1" applyFont="1" applyFill="1" applyBorder="1" applyAlignment="1" applyProtection="1">
      <alignment horizontal="right"/>
      <protection locked="0"/>
    </xf>
    <xf numFmtId="171" fontId="9" fillId="0" borderId="17" xfId="0" applyNumberFormat="1" applyFont="1" applyBorder="1" applyAlignment="1">
      <alignment/>
    </xf>
    <xf numFmtId="171" fontId="9" fillId="0" borderId="12" xfId="0" applyNumberFormat="1" applyFont="1" applyBorder="1" applyAlignment="1">
      <alignment/>
    </xf>
    <xf numFmtId="171" fontId="9" fillId="0" borderId="31" xfId="0" applyNumberFormat="1" applyFont="1" applyBorder="1" applyAlignment="1">
      <alignment/>
    </xf>
    <xf numFmtId="171" fontId="9" fillId="0" borderId="19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9" fillId="0" borderId="2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171" fontId="9" fillId="0" borderId="35" xfId="0" applyNumberFormat="1" applyFont="1" applyBorder="1" applyAlignment="1">
      <alignment/>
    </xf>
    <xf numFmtId="9" fontId="9" fillId="33" borderId="0" xfId="0" applyNumberFormat="1" applyFont="1" applyFill="1" applyBorder="1" applyAlignment="1" applyProtection="1" quotePrefix="1">
      <alignment horizontal="right"/>
      <protection locked="0"/>
    </xf>
    <xf numFmtId="171" fontId="9" fillId="0" borderId="29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171" fontId="9" fillId="0" borderId="2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7" borderId="0" xfId="0" applyFill="1" applyBorder="1" applyAlignment="1" applyProtection="1">
      <alignment/>
      <protection locked="0"/>
    </xf>
    <xf numFmtId="3" fontId="0" fillId="37" borderId="0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173" fontId="0" fillId="37" borderId="0" xfId="0" applyNumberFormat="1" applyFont="1" applyFill="1" applyAlignment="1" applyProtection="1">
      <alignment/>
      <protection locked="0"/>
    </xf>
    <xf numFmtId="168" fontId="0" fillId="37" borderId="0" xfId="0" applyNumberFormat="1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168" fontId="38" fillId="0" borderId="0" xfId="0" applyNumberFormat="1" applyFont="1" applyFill="1" applyAlignment="1" applyProtection="1" quotePrefix="1">
      <alignment horizontal="center"/>
      <protection/>
    </xf>
    <xf numFmtId="172" fontId="38" fillId="0" borderId="0" xfId="0" applyNumberFormat="1" applyFont="1" applyFill="1" applyAlignment="1" applyProtection="1">
      <alignment horizontal="center"/>
      <protection/>
    </xf>
    <xf numFmtId="169" fontId="38" fillId="0" borderId="0" xfId="0" applyNumberFormat="1" applyFont="1" applyFill="1" applyAlignment="1" applyProtection="1" quotePrefix="1">
      <alignment horizontal="center"/>
      <protection/>
    </xf>
    <xf numFmtId="173" fontId="0" fillId="33" borderId="0" xfId="0" applyNumberFormat="1" applyFill="1" applyBorder="1" applyAlignment="1" applyProtection="1">
      <alignment horizontal="right"/>
      <protection locked="0"/>
    </xf>
    <xf numFmtId="0" fontId="2" fillId="0" borderId="30" xfId="0" applyFont="1" applyBorder="1" applyAlignment="1">
      <alignment/>
    </xf>
    <xf numFmtId="49" fontId="9" fillId="33" borderId="26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"/>
          <c:y val="0.02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266"/>
          <c:w val="0.627"/>
          <c:h val="0.6825"/>
        </c:manualLayout>
      </c:layout>
      <c:pieChart>
        <c:varyColors val="1"/>
        <c:ser>
          <c:idx val="0"/>
          <c:order val="0"/>
          <c:tx>
            <c:strRef>
              <c:f>'Risk + Chart'!$A$26</c:f>
              <c:strCache>
                <c:ptCount val="1"/>
                <c:pt idx="0">
                  <c:v>Expense Category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'Risk + Chart'!$A$27:$A$31</c:f>
              <c:strCache/>
            </c:strRef>
          </c:cat>
          <c:val>
            <c:numRef>
              <c:f>'Risk + Chart'!$B$27:$B$31</c:f>
              <c:numCache/>
            </c:numRef>
          </c:val>
        </c:ser>
        <c:firstSliceAng val="36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51"/>
          <c:w val="0.28025"/>
          <c:h val="0.681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22</xdr:row>
      <xdr:rowOff>123825</xdr:rowOff>
    </xdr:from>
    <xdr:to>
      <xdr:col>10</xdr:col>
      <xdr:colOff>523875</xdr:colOff>
      <xdr:row>49</xdr:row>
      <xdr:rowOff>38100</xdr:rowOff>
    </xdr:to>
    <xdr:graphicFrame>
      <xdr:nvGraphicFramePr>
        <xdr:cNvPr id="1" name="Chart 2"/>
        <xdr:cNvGraphicFramePr/>
      </xdr:nvGraphicFramePr>
      <xdr:xfrm>
        <a:off x="3114675" y="4162425"/>
        <a:ext cx="48768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16</xdr:row>
      <xdr:rowOff>47625</xdr:rowOff>
    </xdr:from>
    <xdr:to>
      <xdr:col>17</xdr:col>
      <xdr:colOff>495300</xdr:colOff>
      <xdr:row>22</xdr:row>
      <xdr:rowOff>38100</xdr:rowOff>
    </xdr:to>
    <xdr:sp>
      <xdr:nvSpPr>
        <xdr:cNvPr id="1" name="Down Arrow 1"/>
        <xdr:cNvSpPr>
          <a:spLocks/>
        </xdr:cNvSpPr>
      </xdr:nvSpPr>
      <xdr:spPr>
        <a:xfrm>
          <a:off x="9439275" y="2771775"/>
          <a:ext cx="333375" cy="1476375"/>
        </a:xfrm>
        <a:prstGeom prst="downArrow">
          <a:avLst>
            <a:gd name="adj" fmla="val 3296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26</xdr:row>
      <xdr:rowOff>0</xdr:rowOff>
    </xdr:from>
    <xdr:to>
      <xdr:col>17</xdr:col>
      <xdr:colOff>523875</xdr:colOff>
      <xdr:row>31</xdr:row>
      <xdr:rowOff>142875</xdr:rowOff>
    </xdr:to>
    <xdr:sp>
      <xdr:nvSpPr>
        <xdr:cNvPr id="2" name="Down Arrow 2"/>
        <xdr:cNvSpPr>
          <a:spLocks/>
        </xdr:cNvSpPr>
      </xdr:nvSpPr>
      <xdr:spPr>
        <a:xfrm>
          <a:off x="9410700" y="5076825"/>
          <a:ext cx="390525" cy="1276350"/>
        </a:xfrm>
        <a:prstGeom prst="downArrow">
          <a:avLst>
            <a:gd name="adj" fmla="val 3004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36</xdr:row>
      <xdr:rowOff>0</xdr:rowOff>
    </xdr:from>
    <xdr:to>
      <xdr:col>17</xdr:col>
      <xdr:colOff>523875</xdr:colOff>
      <xdr:row>42</xdr:row>
      <xdr:rowOff>142875</xdr:rowOff>
    </xdr:to>
    <xdr:sp>
      <xdr:nvSpPr>
        <xdr:cNvPr id="3" name="Down Arrow 3"/>
        <xdr:cNvSpPr>
          <a:spLocks/>
        </xdr:cNvSpPr>
      </xdr:nvSpPr>
      <xdr:spPr>
        <a:xfrm>
          <a:off x="9410700" y="7448550"/>
          <a:ext cx="390525" cy="1485900"/>
        </a:xfrm>
        <a:prstGeom prst="downArrow">
          <a:avLst>
            <a:gd name="adj" fmla="val 3004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90" zoomScaleNormal="9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8.28125" style="0" customWidth="1"/>
    <col min="2" max="2" width="25.140625" style="0" customWidth="1"/>
    <col min="3" max="3" width="9.28125" style="0" customWidth="1"/>
    <col min="4" max="4" width="10.57421875" style="0" customWidth="1"/>
    <col min="5" max="5" width="10.140625" style="0" customWidth="1"/>
    <col min="6" max="6" width="11.28125" style="0" customWidth="1"/>
    <col min="7" max="7" width="13.57421875" style="0" customWidth="1"/>
    <col min="8" max="8" width="2.421875" style="0" customWidth="1"/>
    <col min="9" max="9" width="19.57421875" style="0" customWidth="1"/>
    <col min="10" max="10" width="8.421875" style="0" customWidth="1"/>
    <col min="11" max="11" width="10.28125" style="0" bestFit="1" customWidth="1"/>
    <col min="13" max="13" width="10.28125" style="0" bestFit="1" customWidth="1"/>
    <col min="15" max="15" width="9.8515625" style="0" customWidth="1"/>
    <col min="17" max="17" width="11.28125" style="0" customWidth="1"/>
    <col min="18" max="18" width="10.421875" style="0" customWidth="1"/>
  </cols>
  <sheetData>
    <row r="1" spans="1:7" ht="24.75" customHeight="1">
      <c r="A1" s="195"/>
      <c r="B1" s="196"/>
      <c r="C1" s="196"/>
      <c r="D1" s="196"/>
      <c r="E1" s="197"/>
      <c r="F1" s="197"/>
      <c r="G1" s="198" t="s">
        <v>143</v>
      </c>
    </row>
    <row r="2" spans="1:7" ht="19.5" customHeight="1">
      <c r="A2" s="15" t="s">
        <v>144</v>
      </c>
      <c r="F2" s="10"/>
      <c r="G2" s="276" t="s">
        <v>107</v>
      </c>
    </row>
    <row r="3" spans="1:7" ht="15">
      <c r="A3" s="55" t="s">
        <v>112</v>
      </c>
      <c r="G3" s="277" t="s">
        <v>317</v>
      </c>
    </row>
    <row r="4" spans="1:8" ht="15" customHeight="1">
      <c r="A4" s="123" t="s">
        <v>314</v>
      </c>
      <c r="B4" s="68"/>
      <c r="C4" s="68"/>
      <c r="D4" s="68"/>
      <c r="E4" s="68"/>
      <c r="F4" s="61"/>
      <c r="G4" s="101"/>
      <c r="H4" s="1"/>
    </row>
    <row r="5" spans="1:7" ht="15" customHeight="1">
      <c r="A5" s="194" t="s">
        <v>267</v>
      </c>
      <c r="B5" s="73"/>
      <c r="C5" s="73"/>
      <c r="D5" s="73"/>
      <c r="E5" s="73"/>
      <c r="F5" s="73"/>
      <c r="G5" s="124"/>
    </row>
    <row r="6" spans="1:7" ht="15" customHeight="1">
      <c r="A6" s="17" t="s">
        <v>0</v>
      </c>
      <c r="B6" s="17" t="s">
        <v>8</v>
      </c>
      <c r="C6" s="6" t="s">
        <v>9</v>
      </c>
      <c r="D6" s="6" t="s">
        <v>145</v>
      </c>
      <c r="E6" s="6" t="s">
        <v>10</v>
      </c>
      <c r="F6" s="6" t="s">
        <v>11</v>
      </c>
      <c r="G6" s="6" t="s">
        <v>89</v>
      </c>
    </row>
    <row r="7" spans="1:7" ht="12.75">
      <c r="A7" s="16" t="s">
        <v>25</v>
      </c>
      <c r="B7" s="1"/>
      <c r="C7" s="2"/>
      <c r="D7" s="4"/>
      <c r="E7" s="1"/>
      <c r="F7" s="4"/>
      <c r="G7" s="11"/>
    </row>
    <row r="8" spans="1:7" ht="12.75">
      <c r="A8" s="121" t="s">
        <v>146</v>
      </c>
      <c r="B8" s="137" t="s">
        <v>147</v>
      </c>
      <c r="C8" s="52" t="s">
        <v>19</v>
      </c>
      <c r="D8" s="62">
        <v>60</v>
      </c>
      <c r="E8" s="130">
        <v>16</v>
      </c>
      <c r="F8" s="35">
        <f aca="true" t="shared" si="0" ref="F8:F26">+D8*E8</f>
        <v>960</v>
      </c>
      <c r="G8" s="40" t="s">
        <v>18</v>
      </c>
    </row>
    <row r="9" spans="1:7" ht="12.75">
      <c r="A9" s="121" t="s">
        <v>146</v>
      </c>
      <c r="B9" s="60"/>
      <c r="C9" s="52" t="s">
        <v>19</v>
      </c>
      <c r="D9" s="62">
        <v>0</v>
      </c>
      <c r="E9" s="130">
        <v>0</v>
      </c>
      <c r="F9" s="35">
        <f t="shared" si="0"/>
        <v>0</v>
      </c>
      <c r="G9" s="40" t="s">
        <v>18</v>
      </c>
    </row>
    <row r="10" spans="1:7" ht="12.75">
      <c r="A10" s="1" t="s">
        <v>127</v>
      </c>
      <c r="B10" s="59" t="s">
        <v>129</v>
      </c>
      <c r="C10" s="52" t="s">
        <v>17</v>
      </c>
      <c r="D10" s="62">
        <v>18.5</v>
      </c>
      <c r="E10" s="275">
        <v>264.8</v>
      </c>
      <c r="F10" s="35">
        <f t="shared" si="0"/>
        <v>4898.8</v>
      </c>
      <c r="G10" s="40" t="s">
        <v>18</v>
      </c>
    </row>
    <row r="11" spans="1:7" ht="12.75">
      <c r="A11" s="1" t="s">
        <v>128</v>
      </c>
      <c r="B11" s="59" t="s">
        <v>130</v>
      </c>
      <c r="C11" s="52" t="s">
        <v>17</v>
      </c>
      <c r="D11" s="62">
        <v>18.5</v>
      </c>
      <c r="E11" s="275">
        <v>275.9</v>
      </c>
      <c r="F11" s="35">
        <f>+D11*E11</f>
        <v>5104.15</v>
      </c>
      <c r="G11" s="40" t="s">
        <v>18</v>
      </c>
    </row>
    <row r="12" spans="1:7" ht="12.75">
      <c r="A12" s="1" t="s">
        <v>252</v>
      </c>
      <c r="B12" s="59" t="s">
        <v>253</v>
      </c>
      <c r="C12" s="52" t="s">
        <v>17</v>
      </c>
      <c r="D12" s="62">
        <v>18.5</v>
      </c>
      <c r="E12" s="275">
        <v>54.6</v>
      </c>
      <c r="F12" s="35">
        <f t="shared" si="0"/>
        <v>1010.1</v>
      </c>
      <c r="G12" s="40" t="s">
        <v>18</v>
      </c>
    </row>
    <row r="13" spans="1:7" ht="12.75">
      <c r="A13" s="1" t="s">
        <v>113</v>
      </c>
      <c r="B13" s="59"/>
      <c r="C13" s="52" t="s">
        <v>17</v>
      </c>
      <c r="D13" s="62">
        <v>25</v>
      </c>
      <c r="E13" s="275">
        <v>70.7</v>
      </c>
      <c r="F13" s="35">
        <f t="shared" si="0"/>
        <v>1767.5</v>
      </c>
      <c r="G13" s="40" t="s">
        <v>18</v>
      </c>
    </row>
    <row r="14" spans="1:7" ht="12.75">
      <c r="A14" s="133" t="s">
        <v>131</v>
      </c>
      <c r="B14" s="125"/>
      <c r="C14" s="52" t="s">
        <v>17</v>
      </c>
      <c r="D14" s="62">
        <v>18.5</v>
      </c>
      <c r="E14" s="275">
        <v>46.1</v>
      </c>
      <c r="F14" s="35">
        <f>+D14*E14</f>
        <v>852.85</v>
      </c>
      <c r="G14" s="40" t="s">
        <v>18</v>
      </c>
    </row>
    <row r="15" spans="1:7" ht="12.75">
      <c r="A15" s="133" t="s">
        <v>256</v>
      </c>
      <c r="B15" s="125"/>
      <c r="C15" s="52" t="s">
        <v>17</v>
      </c>
      <c r="D15" s="62">
        <v>18.5</v>
      </c>
      <c r="E15" s="275">
        <v>1029.2</v>
      </c>
      <c r="F15" s="35">
        <f>+D15*E15</f>
        <v>19040.2</v>
      </c>
      <c r="G15" s="40" t="s">
        <v>18</v>
      </c>
    </row>
    <row r="16" spans="1:7" ht="12.75">
      <c r="A16" s="133" t="s">
        <v>255</v>
      </c>
      <c r="B16" s="125"/>
      <c r="C16" s="52" t="s">
        <v>17</v>
      </c>
      <c r="D16" s="62">
        <v>18.5</v>
      </c>
      <c r="E16" s="275">
        <v>1440.9</v>
      </c>
      <c r="F16" s="35">
        <f>+D16*E16</f>
        <v>26656.65</v>
      </c>
      <c r="G16" s="40" t="s">
        <v>18</v>
      </c>
    </row>
    <row r="17" spans="1:7" ht="12.75">
      <c r="A17" s="266" t="s">
        <v>114</v>
      </c>
      <c r="B17" s="125"/>
      <c r="C17" s="52" t="s">
        <v>17</v>
      </c>
      <c r="D17" s="62">
        <v>0</v>
      </c>
      <c r="E17" s="275">
        <v>0</v>
      </c>
      <c r="F17" s="35">
        <f t="shared" si="0"/>
        <v>0</v>
      </c>
      <c r="G17" s="40" t="s">
        <v>18</v>
      </c>
    </row>
    <row r="18" spans="1:7" ht="12.75">
      <c r="A18" s="3" t="s">
        <v>92</v>
      </c>
      <c r="B18" s="60" t="s">
        <v>132</v>
      </c>
      <c r="C18" s="52" t="s">
        <v>93</v>
      </c>
      <c r="D18" s="62">
        <v>0</v>
      </c>
      <c r="E18" s="131">
        <v>0</v>
      </c>
      <c r="F18" s="35">
        <f t="shared" si="0"/>
        <v>0</v>
      </c>
      <c r="G18" s="40" t="s">
        <v>18</v>
      </c>
    </row>
    <row r="19" spans="1:7" ht="12.75">
      <c r="A19" s="3" t="s">
        <v>115</v>
      </c>
      <c r="B19" s="60"/>
      <c r="C19" s="52" t="s">
        <v>93</v>
      </c>
      <c r="D19" s="62">
        <v>2.5</v>
      </c>
      <c r="E19" s="130">
        <v>352</v>
      </c>
      <c r="F19" s="35">
        <f t="shared" si="0"/>
        <v>880</v>
      </c>
      <c r="G19" s="40" t="s">
        <v>18</v>
      </c>
    </row>
    <row r="20" spans="1:7" ht="12.75">
      <c r="A20" s="1" t="s">
        <v>116</v>
      </c>
      <c r="B20" s="60"/>
      <c r="C20" s="52" t="s">
        <v>254</v>
      </c>
      <c r="D20" s="62">
        <v>200</v>
      </c>
      <c r="E20" s="130">
        <v>1</v>
      </c>
      <c r="F20" s="35">
        <f t="shared" si="0"/>
        <v>200</v>
      </c>
      <c r="G20" s="40" t="s">
        <v>18</v>
      </c>
    </row>
    <row r="21" spans="1:7" ht="12.75">
      <c r="A21" s="127" t="s">
        <v>118</v>
      </c>
      <c r="B21" s="125" t="s">
        <v>137</v>
      </c>
      <c r="C21" s="52" t="s">
        <v>93</v>
      </c>
      <c r="D21" s="62">
        <v>300</v>
      </c>
      <c r="E21" s="130">
        <v>9</v>
      </c>
      <c r="F21" s="35">
        <f t="shared" si="0"/>
        <v>2700</v>
      </c>
      <c r="G21" s="40" t="s">
        <v>18</v>
      </c>
    </row>
    <row r="22" spans="1:7" ht="12.75">
      <c r="A22" s="1" t="s">
        <v>117</v>
      </c>
      <c r="B22" s="59" t="s">
        <v>262</v>
      </c>
      <c r="C22" s="52" t="s">
        <v>93</v>
      </c>
      <c r="D22" s="62">
        <v>20</v>
      </c>
      <c r="E22" s="130">
        <v>24</v>
      </c>
      <c r="F22" s="35">
        <f t="shared" si="0"/>
        <v>480</v>
      </c>
      <c r="G22" s="40" t="s">
        <v>18</v>
      </c>
    </row>
    <row r="23" spans="1:7" ht="12.75">
      <c r="A23" s="126" t="s">
        <v>108</v>
      </c>
      <c r="B23" s="60" t="s">
        <v>109</v>
      </c>
      <c r="C23" s="52" t="s">
        <v>93</v>
      </c>
      <c r="D23" s="62">
        <v>0</v>
      </c>
      <c r="E23" s="130">
        <v>0</v>
      </c>
      <c r="F23" s="35">
        <f t="shared" si="0"/>
        <v>0</v>
      </c>
      <c r="G23" s="40" t="s">
        <v>18</v>
      </c>
    </row>
    <row r="24" spans="1:7" ht="12.75">
      <c r="A24" s="3" t="s">
        <v>98</v>
      </c>
      <c r="B24" s="60" t="s">
        <v>261</v>
      </c>
      <c r="C24" s="52" t="s">
        <v>93</v>
      </c>
      <c r="D24" s="62">
        <v>5</v>
      </c>
      <c r="E24" s="130">
        <v>26</v>
      </c>
      <c r="F24" s="35">
        <f t="shared" si="0"/>
        <v>130</v>
      </c>
      <c r="G24" s="40" t="s">
        <v>18</v>
      </c>
    </row>
    <row r="25" spans="1:7" ht="12.75">
      <c r="A25" s="111" t="s">
        <v>44</v>
      </c>
      <c r="B25" s="107" t="s">
        <v>90</v>
      </c>
      <c r="C25" s="112" t="s">
        <v>43</v>
      </c>
      <c r="D25" s="63">
        <v>0.02</v>
      </c>
      <c r="E25" s="191">
        <f>FixedCosts!C11+FixedCosts!C12+FixedCosts!C13</f>
        <v>17900</v>
      </c>
      <c r="F25" s="35">
        <f t="shared" si="0"/>
        <v>358</v>
      </c>
      <c r="G25" s="40" t="s">
        <v>18</v>
      </c>
    </row>
    <row r="26" spans="1:7" ht="12.75">
      <c r="A26" s="111" t="s">
        <v>83</v>
      </c>
      <c r="B26" s="107" t="s">
        <v>90</v>
      </c>
      <c r="C26" s="112" t="s">
        <v>43</v>
      </c>
      <c r="D26" s="63">
        <v>0.02</v>
      </c>
      <c r="E26" s="191">
        <f>(FixedCosts!C9*FixedCosts!I9)+(FixedCosts!C10*FixedCosts!I10)+(FixedCosts!C14*FixedCosts!I14)+(FixedCosts!C15*FixedCosts!I15)+(FixedCosts!C16*FixedCosts!I16)+(FixedCosts!J17*FixedCosts!I17)</f>
        <v>32820</v>
      </c>
      <c r="F26" s="35">
        <f t="shared" si="0"/>
        <v>656.4</v>
      </c>
      <c r="G26" s="40" t="s">
        <v>18</v>
      </c>
    </row>
    <row r="27" spans="1:7" ht="12.75">
      <c r="A27" s="113" t="s">
        <v>85</v>
      </c>
      <c r="B27" s="107" t="s">
        <v>79</v>
      </c>
      <c r="C27" s="112"/>
      <c r="D27" s="95"/>
      <c r="E27" s="132"/>
      <c r="F27" s="35">
        <f>FixedCosts!J53</f>
        <v>1876.8412499999997</v>
      </c>
      <c r="G27" s="40" t="s">
        <v>18</v>
      </c>
    </row>
    <row r="28" spans="1:7" ht="12.75">
      <c r="A28" s="1" t="s">
        <v>94</v>
      </c>
      <c r="B28" s="61" t="s">
        <v>133</v>
      </c>
      <c r="C28" s="52" t="s">
        <v>93</v>
      </c>
      <c r="D28" s="62">
        <v>0</v>
      </c>
      <c r="E28" s="130">
        <v>0</v>
      </c>
      <c r="F28" s="35">
        <f>+D28*E28</f>
        <v>0</v>
      </c>
      <c r="G28" s="40" t="s">
        <v>18</v>
      </c>
    </row>
    <row r="29" spans="1:7" ht="14.25">
      <c r="A29" s="3" t="s">
        <v>86</v>
      </c>
      <c r="B29" s="16" t="s">
        <v>45</v>
      </c>
      <c r="C29" s="52" t="s">
        <v>16</v>
      </c>
      <c r="D29" s="63">
        <v>0.055</v>
      </c>
      <c r="E29" s="50">
        <f>(0.5*(SUM(F12:F27)))</f>
        <v>28304.270625</v>
      </c>
      <c r="F29" s="35">
        <f>+D29*E29</f>
        <v>1556.734884375</v>
      </c>
      <c r="G29" s="40" t="s">
        <v>18</v>
      </c>
    </row>
    <row r="30" spans="6:7" ht="9" customHeight="1">
      <c r="F30" s="36" t="s">
        <v>18</v>
      </c>
      <c r="G30" s="40" t="s">
        <v>18</v>
      </c>
    </row>
    <row r="31" spans="1:7" ht="12.75">
      <c r="A31" s="16" t="s">
        <v>26</v>
      </c>
      <c r="B31" s="1"/>
      <c r="C31" s="2"/>
      <c r="D31" s="4"/>
      <c r="E31" s="20"/>
      <c r="F31" s="37">
        <f>SUM(F8:F29)</f>
        <v>69128.226134375</v>
      </c>
      <c r="G31" s="40" t="s">
        <v>18</v>
      </c>
    </row>
    <row r="32" spans="1:7" ht="6" customHeight="1">
      <c r="A32" s="7"/>
      <c r="B32" s="7"/>
      <c r="C32" s="7"/>
      <c r="D32" s="7"/>
      <c r="E32" s="7"/>
      <c r="F32" s="34"/>
      <c r="G32" s="8"/>
    </row>
    <row r="33" spans="1:7" ht="13.5" customHeight="1">
      <c r="A33" s="1" t="s">
        <v>91</v>
      </c>
      <c r="B33" s="1"/>
      <c r="C33" s="2"/>
      <c r="D33" s="4"/>
      <c r="E33" s="20"/>
      <c r="F33" s="35"/>
      <c r="G33" s="11"/>
    </row>
    <row r="34" spans="1:7" ht="13.5" customHeight="1">
      <c r="A34" s="1" t="s">
        <v>104</v>
      </c>
      <c r="B34" s="1" t="s">
        <v>96</v>
      </c>
      <c r="C34" s="2"/>
      <c r="D34" s="4"/>
      <c r="E34" s="20"/>
      <c r="F34" s="38">
        <f>SUM(FixedCosts!J9:J17)</f>
        <v>8756.197333333335</v>
      </c>
      <c r="G34" s="40" t="s">
        <v>18</v>
      </c>
    </row>
    <row r="35" spans="1:7" ht="12.75">
      <c r="A35" s="1" t="s">
        <v>263</v>
      </c>
      <c r="B35" s="1" t="s">
        <v>96</v>
      </c>
      <c r="C35" s="2"/>
      <c r="D35" s="4"/>
      <c r="E35" s="20"/>
      <c r="F35" s="35">
        <f>SUM(FixedCosts!J19:J27)</f>
        <v>1718.7404999999999</v>
      </c>
      <c r="G35" s="40" t="s">
        <v>18</v>
      </c>
    </row>
    <row r="36" spans="1:7" ht="12.75">
      <c r="A36" s="108" t="s">
        <v>105</v>
      </c>
      <c r="B36" s="1" t="s">
        <v>97</v>
      </c>
      <c r="C36" s="2"/>
      <c r="D36" s="4"/>
      <c r="E36" s="20"/>
      <c r="F36" s="35">
        <f>SUM(FixedCosts!J28:J30)</f>
        <v>141.48000000000002</v>
      </c>
      <c r="G36" s="40" t="s">
        <v>18</v>
      </c>
    </row>
    <row r="37" spans="1:7" ht="9" customHeight="1">
      <c r="A37" s="16"/>
      <c r="B37" s="1"/>
      <c r="C37" s="2"/>
      <c r="D37" s="4"/>
      <c r="E37" s="20"/>
      <c r="F37" s="36" t="s">
        <v>18</v>
      </c>
      <c r="G37" s="40" t="s">
        <v>18</v>
      </c>
    </row>
    <row r="38" spans="1:7" ht="12.75">
      <c r="A38" s="1" t="s">
        <v>27</v>
      </c>
      <c r="B38" s="1"/>
      <c r="C38" s="2"/>
      <c r="D38" s="4"/>
      <c r="E38" s="20"/>
      <c r="F38" s="35">
        <f>SUM(F34:F36)</f>
        <v>10616.417833333335</v>
      </c>
      <c r="G38" s="40" t="s">
        <v>18</v>
      </c>
    </row>
    <row r="39" spans="1:7" ht="6" customHeight="1">
      <c r="A39" s="7"/>
      <c r="B39" s="7"/>
      <c r="C39" s="8"/>
      <c r="D39" s="9"/>
      <c r="E39" s="22"/>
      <c r="F39" s="39"/>
      <c r="G39" s="8"/>
    </row>
    <row r="40" spans="1:7" ht="12.75">
      <c r="A40" s="1" t="s">
        <v>28</v>
      </c>
      <c r="B40" s="1"/>
      <c r="C40" s="2"/>
      <c r="D40" s="4"/>
      <c r="E40" s="20"/>
      <c r="F40" s="35"/>
      <c r="G40" s="11"/>
    </row>
    <row r="41" spans="1:7" ht="12.75">
      <c r="A41" s="3" t="s">
        <v>80</v>
      </c>
      <c r="B41" s="1"/>
      <c r="C41" s="52"/>
      <c r="D41" s="95"/>
      <c r="E41" s="96"/>
      <c r="F41" s="35">
        <f>FixedCosts!K53</f>
        <v>5015</v>
      </c>
      <c r="G41" s="40" t="s">
        <v>18</v>
      </c>
    </row>
    <row r="42" spans="1:7" ht="12.75">
      <c r="A42" s="3" t="s">
        <v>22</v>
      </c>
      <c r="B42" s="1" t="s">
        <v>95</v>
      </c>
      <c r="C42" s="2" t="s">
        <v>21</v>
      </c>
      <c r="D42" s="62">
        <v>10</v>
      </c>
      <c r="E42" s="65">
        <v>440</v>
      </c>
      <c r="F42" s="35">
        <f>+D42*E42</f>
        <v>4400</v>
      </c>
      <c r="G42" s="40" t="s">
        <v>18</v>
      </c>
    </row>
    <row r="43" spans="1:7" ht="12.75">
      <c r="A43" s="3"/>
      <c r="B43" s="1"/>
      <c r="C43" s="2"/>
      <c r="D43" s="53"/>
      <c r="E43" s="54"/>
      <c r="F43" s="36" t="s">
        <v>18</v>
      </c>
      <c r="G43" s="36" t="s">
        <v>18</v>
      </c>
    </row>
    <row r="44" spans="1:7" ht="12.75">
      <c r="A44" s="1" t="s">
        <v>39</v>
      </c>
      <c r="B44" s="1"/>
      <c r="C44" s="2"/>
      <c r="D44" s="4"/>
      <c r="E44" s="20"/>
      <c r="F44" s="35">
        <f>SUM(F41:F42)</f>
        <v>9415</v>
      </c>
      <c r="G44" s="40" t="s">
        <v>18</v>
      </c>
    </row>
    <row r="45" spans="1:7" ht="12.75">
      <c r="A45" s="1"/>
      <c r="B45" s="1"/>
      <c r="C45" s="2"/>
      <c r="D45" s="4"/>
      <c r="E45" s="20"/>
      <c r="F45" s="36" t="s">
        <v>18</v>
      </c>
      <c r="G45" s="40" t="s">
        <v>18</v>
      </c>
    </row>
    <row r="46" spans="1:7" ht="12.75">
      <c r="A46" s="1" t="s">
        <v>40</v>
      </c>
      <c r="B46" s="1"/>
      <c r="C46" s="2"/>
      <c r="D46" s="4"/>
      <c r="E46" s="20"/>
      <c r="F46" s="38">
        <f>F31+F38+F44</f>
        <v>89159.64396770834</v>
      </c>
      <c r="G46" s="40" t="s">
        <v>18</v>
      </c>
    </row>
    <row r="47" spans="1:7" ht="6" customHeight="1">
      <c r="A47" s="7"/>
      <c r="B47" s="7"/>
      <c r="C47" s="8"/>
      <c r="D47" s="9"/>
      <c r="E47" s="22"/>
      <c r="F47" s="39"/>
      <c r="G47" s="8"/>
    </row>
    <row r="48" spans="1:7" ht="14.25">
      <c r="A48" s="3" t="s">
        <v>88</v>
      </c>
      <c r="B48" s="1"/>
      <c r="C48" s="2"/>
      <c r="D48" s="1"/>
      <c r="E48" s="20"/>
      <c r="F48" s="35"/>
      <c r="G48" s="11"/>
    </row>
    <row r="49" spans="1:7" ht="12.75">
      <c r="A49" s="3" t="s">
        <v>248</v>
      </c>
      <c r="B49" s="126" t="s">
        <v>138</v>
      </c>
      <c r="C49" s="64" t="s">
        <v>93</v>
      </c>
      <c r="D49" s="62">
        <v>75</v>
      </c>
      <c r="E49" s="267">
        <v>0</v>
      </c>
      <c r="F49" s="50">
        <f aca="true" t="shared" si="1" ref="F49:F55">+(D49*E49)</f>
        <v>0</v>
      </c>
      <c r="G49" s="40" t="s">
        <v>18</v>
      </c>
    </row>
    <row r="50" spans="1:7" ht="12.75">
      <c r="A50" s="3" t="s">
        <v>249</v>
      </c>
      <c r="B50" s="64" t="s">
        <v>121</v>
      </c>
      <c r="C50" s="64" t="s">
        <v>93</v>
      </c>
      <c r="D50" s="62">
        <v>75</v>
      </c>
      <c r="E50" s="267">
        <v>0</v>
      </c>
      <c r="F50" s="50">
        <f t="shared" si="1"/>
        <v>0</v>
      </c>
      <c r="G50" s="40" t="s">
        <v>18</v>
      </c>
    </row>
    <row r="51" spans="1:7" ht="12.75">
      <c r="A51" s="3" t="s">
        <v>246</v>
      </c>
      <c r="B51" s="126" t="s">
        <v>250</v>
      </c>
      <c r="C51" s="64"/>
      <c r="D51" s="62">
        <v>1</v>
      </c>
      <c r="E51" s="267">
        <v>40750</v>
      </c>
      <c r="F51" s="50">
        <f t="shared" si="1"/>
        <v>40750</v>
      </c>
      <c r="G51" s="40" t="s">
        <v>18</v>
      </c>
    </row>
    <row r="52" spans="1:7" ht="12.75">
      <c r="A52" s="3" t="s">
        <v>247</v>
      </c>
      <c r="B52" s="64" t="s">
        <v>121</v>
      </c>
      <c r="C52" s="64" t="s">
        <v>93</v>
      </c>
      <c r="D52" s="62">
        <v>1</v>
      </c>
      <c r="E52" s="267">
        <v>40750</v>
      </c>
      <c r="F52" s="50">
        <f t="shared" si="1"/>
        <v>40750</v>
      </c>
      <c r="G52" s="40" t="s">
        <v>18</v>
      </c>
    </row>
    <row r="53" spans="1:7" ht="12.75">
      <c r="A53" s="3" t="s">
        <v>119</v>
      </c>
      <c r="B53" s="64" t="s">
        <v>121</v>
      </c>
      <c r="C53" s="64" t="s">
        <v>93</v>
      </c>
      <c r="D53" s="62">
        <v>220</v>
      </c>
      <c r="E53" s="267">
        <v>8</v>
      </c>
      <c r="F53" s="50">
        <f t="shared" si="1"/>
        <v>1760</v>
      </c>
      <c r="G53" s="40" t="s">
        <v>18</v>
      </c>
    </row>
    <row r="54" spans="1:7" ht="12.75">
      <c r="A54" s="3" t="s">
        <v>251</v>
      </c>
      <c r="B54" s="64" t="s">
        <v>121</v>
      </c>
      <c r="C54" s="64" t="s">
        <v>93</v>
      </c>
      <c r="D54" s="62">
        <v>0</v>
      </c>
      <c r="E54" s="267">
        <v>0</v>
      </c>
      <c r="F54" s="50">
        <f t="shared" si="1"/>
        <v>0</v>
      </c>
      <c r="G54" s="40" t="s">
        <v>18</v>
      </c>
    </row>
    <row r="55" spans="1:7" ht="12.75">
      <c r="A55" s="3" t="s">
        <v>120</v>
      </c>
      <c r="B55" s="64" t="s">
        <v>121</v>
      </c>
      <c r="C55" s="64" t="s">
        <v>93</v>
      </c>
      <c r="D55" s="62">
        <v>220</v>
      </c>
      <c r="E55" s="267">
        <v>1</v>
      </c>
      <c r="F55" s="50">
        <f t="shared" si="1"/>
        <v>220</v>
      </c>
      <c r="G55" s="40" t="s">
        <v>18</v>
      </c>
    </row>
    <row r="56" spans="1:7" ht="9" customHeight="1">
      <c r="A56" s="3"/>
      <c r="B56" s="1"/>
      <c r="C56" s="2"/>
      <c r="D56" s="4"/>
      <c r="E56" s="19"/>
      <c r="F56" s="51" t="s">
        <v>18</v>
      </c>
      <c r="G56" s="40" t="s">
        <v>18</v>
      </c>
    </row>
    <row r="57" spans="1:7" ht="12.75" customHeight="1">
      <c r="A57" s="16" t="s">
        <v>24</v>
      </c>
      <c r="B57" s="1"/>
      <c r="C57" s="2"/>
      <c r="D57" s="4"/>
      <c r="E57" s="19"/>
      <c r="F57" s="50">
        <f>SUM(F51:F55)</f>
        <v>83480</v>
      </c>
      <c r="G57" s="40" t="s">
        <v>18</v>
      </c>
    </row>
    <row r="58" spans="1:7" ht="6" customHeight="1">
      <c r="A58" s="7"/>
      <c r="B58" s="7"/>
      <c r="C58" s="8"/>
      <c r="D58" s="9"/>
      <c r="E58" s="7"/>
      <c r="F58" s="33"/>
      <c r="G58" s="8"/>
    </row>
    <row r="59" spans="1:7" ht="13.5" customHeight="1">
      <c r="A59" s="1" t="s">
        <v>29</v>
      </c>
      <c r="B59" s="1"/>
      <c r="C59" s="1"/>
      <c r="D59" s="1"/>
      <c r="E59" s="1"/>
      <c r="F59" s="21">
        <f>+F57-F31</f>
        <v>14351.773865625</v>
      </c>
      <c r="G59" s="40" t="s">
        <v>18</v>
      </c>
    </row>
    <row r="60" spans="1:7" ht="14.25" customHeight="1">
      <c r="A60" s="1" t="s">
        <v>302</v>
      </c>
      <c r="B60" s="1"/>
      <c r="C60" s="1"/>
      <c r="D60" s="1"/>
      <c r="E60" s="1"/>
      <c r="F60" s="18">
        <f>+F57-(F31+F38)</f>
        <v>3735.35603229166</v>
      </c>
      <c r="G60" s="40" t="s">
        <v>18</v>
      </c>
    </row>
    <row r="61" spans="1:7" ht="15" customHeight="1">
      <c r="A61" s="177" t="s">
        <v>303</v>
      </c>
      <c r="B61" s="1"/>
      <c r="C61" s="1"/>
      <c r="D61" s="1"/>
      <c r="E61" s="1"/>
      <c r="F61" s="18">
        <f>+F57-(F31+F38+F44)</f>
        <v>-5679.64396770834</v>
      </c>
      <c r="G61" s="40" t="s">
        <v>18</v>
      </c>
    </row>
    <row r="62" spans="1:7" ht="15" customHeight="1">
      <c r="A62" s="177" t="s">
        <v>304</v>
      </c>
      <c r="B62" s="1"/>
      <c r="C62" s="128" t="s">
        <v>122</v>
      </c>
      <c r="E62" s="61">
        <v>24</v>
      </c>
      <c r="F62" s="134">
        <f>F61/E62</f>
        <v>-236.6518319878475</v>
      </c>
      <c r="G62" s="40" t="s">
        <v>18</v>
      </c>
    </row>
    <row r="63" spans="1:7" ht="13.5" customHeight="1">
      <c r="A63" s="177" t="s">
        <v>305</v>
      </c>
      <c r="B63" s="1"/>
      <c r="C63" s="128" t="s">
        <v>123</v>
      </c>
      <c r="E63" s="61">
        <v>16</v>
      </c>
      <c r="F63" s="134">
        <f>F61/E63</f>
        <v>-354.97774798177124</v>
      </c>
      <c r="G63" s="40" t="s">
        <v>18</v>
      </c>
    </row>
    <row r="64" spans="1:7" ht="6" customHeight="1" thickBot="1">
      <c r="A64" s="24"/>
      <c r="B64" s="24"/>
      <c r="C64" s="24"/>
      <c r="D64" s="24"/>
      <c r="E64" s="24"/>
      <c r="F64" s="25"/>
      <c r="G64" s="24"/>
    </row>
    <row r="65" spans="1:6" ht="15" customHeight="1" thickTop="1">
      <c r="A65" s="5" t="s">
        <v>110</v>
      </c>
      <c r="B65" s="1"/>
      <c r="C65" s="1"/>
      <c r="D65" s="1"/>
      <c r="E65" s="1"/>
      <c r="F65" s="1"/>
    </row>
    <row r="66" spans="1:6" ht="12.75" customHeight="1">
      <c r="A66" s="5" t="s">
        <v>87</v>
      </c>
      <c r="B66" s="1"/>
      <c r="C66" s="1"/>
      <c r="D66" s="1"/>
      <c r="E66" s="1"/>
      <c r="F66" s="1"/>
    </row>
    <row r="67" spans="1:6" ht="12.75" customHeight="1">
      <c r="A67" s="5" t="s">
        <v>148</v>
      </c>
      <c r="B67" s="1"/>
      <c r="C67" s="1"/>
      <c r="D67" s="1"/>
      <c r="E67" s="1"/>
      <c r="F67" s="1"/>
    </row>
    <row r="68" spans="1:6" ht="12.75" customHeight="1">
      <c r="A68" s="94" t="s">
        <v>111</v>
      </c>
      <c r="B68" s="1"/>
      <c r="C68" s="1"/>
      <c r="D68" s="1"/>
      <c r="E68" s="1"/>
      <c r="F68" s="1"/>
    </row>
    <row r="69" spans="1:6" ht="14.25">
      <c r="A69" s="268" t="s">
        <v>315</v>
      </c>
      <c r="B69" s="1"/>
      <c r="C69" s="1"/>
      <c r="D69" s="1"/>
      <c r="E69" s="1"/>
      <c r="F69" s="1"/>
    </row>
    <row r="70" ht="7.5" customHeight="1">
      <c r="G70" s="30"/>
    </row>
    <row r="71" spans="1:6" ht="12.75">
      <c r="A71" s="121" t="s">
        <v>150</v>
      </c>
      <c r="B71" s="29"/>
      <c r="C71" s="29"/>
      <c r="D71" s="29"/>
      <c r="E71" s="29"/>
      <c r="F71" s="30"/>
    </row>
    <row r="72" spans="1:6" ht="12.75">
      <c r="A72" s="122" t="s">
        <v>149</v>
      </c>
      <c r="B72" s="29"/>
      <c r="C72" s="29"/>
      <c r="D72" s="29"/>
      <c r="E72" s="29"/>
      <c r="F72" s="30"/>
    </row>
    <row r="73" ht="12.75">
      <c r="A73" s="122" t="s">
        <v>151</v>
      </c>
    </row>
  </sheetData>
  <sheetProtection sheet="1" selectLockedCells="1"/>
  <printOptions horizontalCentered="1"/>
  <pageMargins left="0.73" right="0.55" top="0.75" bottom="0.58" header="0.5" footer="0.5"/>
  <pageSetup horizontalDpi="300" verticalDpi="300" orientation="portrait" scale="75" r:id="rId2"/>
  <colBreaks count="1" manualBreakCount="1">
    <brk id="8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75" zoomScalePageLayoutView="0" workbookViewId="0" topLeftCell="A1">
      <selection activeCell="F7" sqref="F7"/>
    </sheetView>
  </sheetViews>
  <sheetFormatPr defaultColWidth="9.140625" defaultRowHeight="12.75"/>
  <cols>
    <col min="1" max="1" width="21.7109375" style="0" customWidth="1"/>
    <col min="2" max="2" width="7.421875" style="0" customWidth="1"/>
    <col min="3" max="3" width="11.00390625" style="0" customWidth="1"/>
    <col min="4" max="4" width="9.57421875" style="0" customWidth="1"/>
    <col min="5" max="5" width="10.57421875" style="0" customWidth="1"/>
    <col min="6" max="6" width="9.7109375" style="0" customWidth="1"/>
    <col min="9" max="9" width="9.8515625" style="0" customWidth="1"/>
    <col min="10" max="10" width="11.28125" style="0" customWidth="1"/>
    <col min="11" max="11" width="10.00390625" style="0" bestFit="1" customWidth="1"/>
    <col min="12" max="12" width="10.421875" style="0" bestFit="1" customWidth="1"/>
  </cols>
  <sheetData>
    <row r="1" spans="1:12" ht="15.75">
      <c r="A1" s="15" t="s">
        <v>257</v>
      </c>
      <c r="G1" s="10"/>
      <c r="L1" s="26" t="str">
        <f>'DrylotFtFBudget-1'!G1</f>
        <v>Budget Sows-OSO1</v>
      </c>
    </row>
    <row r="2" spans="2:12" ht="12.75">
      <c r="B2" s="1"/>
      <c r="C2" s="1"/>
      <c r="D2" s="1"/>
      <c r="E2" s="1"/>
      <c r="F2" s="1"/>
      <c r="L2" s="27" t="str">
        <f>'DrylotFtFBudget-1'!G3</f>
        <v>August 2011</v>
      </c>
    </row>
    <row r="3" spans="1:10" ht="12.75">
      <c r="A3" s="90" t="s">
        <v>73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>
      <c r="A4" s="41" t="s">
        <v>0</v>
      </c>
      <c r="B4" s="41" t="s">
        <v>1</v>
      </c>
      <c r="C4" s="41" t="s">
        <v>2</v>
      </c>
      <c r="D4" s="41" t="s">
        <v>3</v>
      </c>
      <c r="E4" s="42" t="s">
        <v>4</v>
      </c>
      <c r="F4" s="42" t="s">
        <v>5</v>
      </c>
      <c r="G4" s="41" t="s">
        <v>6</v>
      </c>
      <c r="H4" s="41" t="s">
        <v>7</v>
      </c>
      <c r="I4" s="43" t="s">
        <v>41</v>
      </c>
      <c r="J4" s="43" t="s">
        <v>41</v>
      </c>
    </row>
    <row r="5" spans="1:10" ht="14.25">
      <c r="A5" s="6"/>
      <c r="B5" s="6"/>
      <c r="C5" s="6" t="s">
        <v>12</v>
      </c>
      <c r="D5" s="6" t="s">
        <v>11</v>
      </c>
      <c r="E5" s="12" t="s">
        <v>13</v>
      </c>
      <c r="F5" s="6"/>
      <c r="G5" s="12" t="s">
        <v>14</v>
      </c>
      <c r="H5" s="6" t="s">
        <v>30</v>
      </c>
      <c r="I5" s="44" t="s">
        <v>42</v>
      </c>
      <c r="J5" s="44" t="s">
        <v>42</v>
      </c>
    </row>
    <row r="6" spans="1:10" ht="12.75">
      <c r="A6" s="1"/>
      <c r="B6" s="11" t="s">
        <v>15</v>
      </c>
      <c r="C6" s="11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43</v>
      </c>
      <c r="J6" s="11" t="s">
        <v>16</v>
      </c>
    </row>
    <row r="7" spans="1:7" ht="12.75">
      <c r="A7" t="s">
        <v>106</v>
      </c>
      <c r="F7" s="67">
        <v>0.05</v>
      </c>
      <c r="G7" s="67">
        <v>0.0012</v>
      </c>
    </row>
    <row r="8" spans="1:10" ht="14.25">
      <c r="A8" s="136" t="s">
        <v>153</v>
      </c>
      <c r="B8" s="101"/>
      <c r="C8" s="101"/>
      <c r="D8" s="101"/>
      <c r="E8" s="102"/>
      <c r="F8" s="103"/>
      <c r="G8" s="103"/>
      <c r="H8" s="101"/>
      <c r="I8" s="101"/>
      <c r="J8" s="101"/>
    </row>
    <row r="9" spans="1:10" ht="12.75">
      <c r="A9" s="101" t="s">
        <v>134</v>
      </c>
      <c r="B9" s="68">
        <v>10</v>
      </c>
      <c r="C9" s="69">
        <v>3000</v>
      </c>
      <c r="D9" s="69">
        <v>0</v>
      </c>
      <c r="E9" s="32">
        <f aca="true" t="shared" si="0" ref="E9:E17">+(C9-D9)/B9</f>
        <v>300</v>
      </c>
      <c r="F9" s="32">
        <f aca="true" t="shared" si="1" ref="F9:F17">+((C9+D9)/2)*$F$7</f>
        <v>75</v>
      </c>
      <c r="G9" s="32">
        <f aca="true" t="shared" si="2" ref="G9:G17">C9*$G$7</f>
        <v>3.5999999999999996</v>
      </c>
      <c r="H9" s="32">
        <f aca="true" t="shared" si="3" ref="H9:H17">SUM(E9:G9)</f>
        <v>378.6</v>
      </c>
      <c r="I9" s="66">
        <v>1</v>
      </c>
      <c r="J9" s="92">
        <f aca="true" t="shared" si="4" ref="J9:J17">H9*I9</f>
        <v>378.6</v>
      </c>
    </row>
    <row r="10" spans="1:10" ht="12.75">
      <c r="A10" s="101" t="s">
        <v>99</v>
      </c>
      <c r="B10" s="68">
        <v>15</v>
      </c>
      <c r="C10" s="69">
        <v>16000</v>
      </c>
      <c r="D10" s="69">
        <v>0</v>
      </c>
      <c r="E10" s="32">
        <f t="shared" si="0"/>
        <v>1066.6666666666667</v>
      </c>
      <c r="F10" s="32">
        <f t="shared" si="1"/>
        <v>400</v>
      </c>
      <c r="G10" s="32">
        <f t="shared" si="2"/>
        <v>19.2</v>
      </c>
      <c r="H10" s="32">
        <f t="shared" si="3"/>
        <v>1485.8666666666668</v>
      </c>
      <c r="I10" s="66">
        <v>0.5</v>
      </c>
      <c r="J10" s="92">
        <f t="shared" si="4"/>
        <v>742.9333333333334</v>
      </c>
    </row>
    <row r="11" spans="1:10" ht="12.75">
      <c r="A11" s="122" t="s">
        <v>245</v>
      </c>
      <c r="B11" s="68">
        <v>5</v>
      </c>
      <c r="C11" s="69">
        <v>6264</v>
      </c>
      <c r="D11" s="69">
        <v>0</v>
      </c>
      <c r="E11" s="32">
        <f t="shared" si="0"/>
        <v>1252.8</v>
      </c>
      <c r="F11" s="32">
        <f t="shared" si="1"/>
        <v>156.60000000000002</v>
      </c>
      <c r="G11" s="32">
        <f t="shared" si="2"/>
        <v>7.516799999999999</v>
      </c>
      <c r="H11" s="32">
        <f t="shared" si="3"/>
        <v>1416.9168000000002</v>
      </c>
      <c r="I11" s="66">
        <v>1</v>
      </c>
      <c r="J11" s="92">
        <f t="shared" si="4"/>
        <v>1416.9168000000002</v>
      </c>
    </row>
    <row r="12" spans="1:10" ht="12.75">
      <c r="A12" s="122" t="s">
        <v>152</v>
      </c>
      <c r="B12" s="68">
        <v>5</v>
      </c>
      <c r="C12" s="69">
        <v>3986</v>
      </c>
      <c r="D12" s="69">
        <v>0</v>
      </c>
      <c r="E12" s="32">
        <f t="shared" si="0"/>
        <v>797.2</v>
      </c>
      <c r="F12" s="32">
        <f t="shared" si="1"/>
        <v>99.65</v>
      </c>
      <c r="G12" s="32">
        <f t="shared" si="2"/>
        <v>4.7832</v>
      </c>
      <c r="H12" s="32">
        <f t="shared" si="3"/>
        <v>901.6332</v>
      </c>
      <c r="I12" s="66">
        <v>1</v>
      </c>
      <c r="J12" s="92">
        <f t="shared" si="4"/>
        <v>901.6332</v>
      </c>
    </row>
    <row r="13" spans="1:10" ht="12.75">
      <c r="A13" s="10" t="s">
        <v>23</v>
      </c>
      <c r="B13" s="68">
        <v>5</v>
      </c>
      <c r="C13" s="69">
        <v>7650</v>
      </c>
      <c r="D13" s="69">
        <v>0</v>
      </c>
      <c r="E13" s="32">
        <f t="shared" si="0"/>
        <v>1530</v>
      </c>
      <c r="F13" s="32">
        <f t="shared" si="1"/>
        <v>191.25</v>
      </c>
      <c r="G13" s="32">
        <f t="shared" si="2"/>
        <v>9.18</v>
      </c>
      <c r="H13" s="32">
        <f t="shared" si="3"/>
        <v>1730.43</v>
      </c>
      <c r="I13" s="66">
        <v>1</v>
      </c>
      <c r="J13" s="92">
        <f t="shared" si="4"/>
        <v>1730.43</v>
      </c>
    </row>
    <row r="14" spans="1:10" ht="12.75">
      <c r="A14" t="s">
        <v>100</v>
      </c>
      <c r="B14" s="68">
        <v>20</v>
      </c>
      <c r="C14" s="69">
        <v>0</v>
      </c>
      <c r="D14" s="69">
        <v>0</v>
      </c>
      <c r="E14" s="32">
        <f t="shared" si="0"/>
        <v>0</v>
      </c>
      <c r="F14" s="32">
        <f t="shared" si="1"/>
        <v>0</v>
      </c>
      <c r="G14" s="32">
        <f t="shared" si="2"/>
        <v>0</v>
      </c>
      <c r="H14" s="32">
        <f t="shared" si="3"/>
        <v>0</v>
      </c>
      <c r="I14" s="66">
        <v>1</v>
      </c>
      <c r="J14" s="92">
        <f t="shared" si="4"/>
        <v>0</v>
      </c>
    </row>
    <row r="15" spans="1:10" ht="12.75">
      <c r="A15" s="122" t="s">
        <v>264</v>
      </c>
      <c r="B15" s="68">
        <v>5</v>
      </c>
      <c r="C15" s="69">
        <v>8320</v>
      </c>
      <c r="D15" s="69">
        <v>0</v>
      </c>
      <c r="E15" s="32">
        <f t="shared" si="0"/>
        <v>1664</v>
      </c>
      <c r="F15" s="32">
        <f t="shared" si="1"/>
        <v>208</v>
      </c>
      <c r="G15" s="32">
        <f t="shared" si="2"/>
        <v>9.984</v>
      </c>
      <c r="H15" s="32">
        <f t="shared" si="3"/>
        <v>1881.984</v>
      </c>
      <c r="I15" s="66">
        <v>1</v>
      </c>
      <c r="J15" s="92">
        <f t="shared" si="4"/>
        <v>1881.984</v>
      </c>
    </row>
    <row r="16" spans="1:10" ht="12.75">
      <c r="A16" t="s">
        <v>136</v>
      </c>
      <c r="B16" s="68">
        <v>10</v>
      </c>
      <c r="C16" s="69">
        <v>13500</v>
      </c>
      <c r="D16" s="69">
        <v>0</v>
      </c>
      <c r="E16" s="32">
        <f t="shared" si="0"/>
        <v>1350</v>
      </c>
      <c r="F16" s="32">
        <f t="shared" si="1"/>
        <v>337.5</v>
      </c>
      <c r="G16" s="32">
        <f t="shared" si="2"/>
        <v>16.2</v>
      </c>
      <c r="H16" s="32">
        <f t="shared" si="3"/>
        <v>1703.7</v>
      </c>
      <c r="I16" s="66">
        <v>1</v>
      </c>
      <c r="J16" s="92">
        <f t="shared" si="4"/>
        <v>1703.7</v>
      </c>
    </row>
    <row r="17" spans="1:11" ht="12.75">
      <c r="A17" t="s">
        <v>84</v>
      </c>
      <c r="B17" s="68">
        <v>5</v>
      </c>
      <c r="C17" s="69">
        <v>0</v>
      </c>
      <c r="D17" s="69">
        <v>0</v>
      </c>
      <c r="E17" s="32">
        <f t="shared" si="0"/>
        <v>0</v>
      </c>
      <c r="F17" s="32">
        <f t="shared" si="1"/>
        <v>0</v>
      </c>
      <c r="G17" s="32">
        <f t="shared" si="2"/>
        <v>0</v>
      </c>
      <c r="H17" s="32">
        <f t="shared" si="3"/>
        <v>0</v>
      </c>
      <c r="I17" s="66">
        <v>0</v>
      </c>
      <c r="J17" s="92">
        <f t="shared" si="4"/>
        <v>0</v>
      </c>
      <c r="K17" s="91"/>
    </row>
    <row r="18" spans="1:10" ht="12.75">
      <c r="A18" s="136" t="s">
        <v>140</v>
      </c>
      <c r="B18" s="102"/>
      <c r="C18" s="104"/>
      <c r="D18" s="104"/>
      <c r="E18" s="104"/>
      <c r="F18" s="104"/>
      <c r="G18" s="104"/>
      <c r="H18" s="104"/>
      <c r="I18" s="105"/>
      <c r="J18" s="106"/>
    </row>
    <row r="19" spans="1:10" ht="12.75">
      <c r="A19" s="48" t="s">
        <v>101</v>
      </c>
      <c r="B19" s="61">
        <v>10</v>
      </c>
      <c r="C19" s="70">
        <v>12500</v>
      </c>
      <c r="D19" s="71">
        <f aca="true" t="shared" si="5" ref="D19:D24">C19*0.26</f>
        <v>3250</v>
      </c>
      <c r="E19" s="49">
        <f aca="true" t="shared" si="6" ref="E19:E28">+(C19-D19)/B19</f>
        <v>925</v>
      </c>
      <c r="F19" s="32">
        <f aca="true" t="shared" si="7" ref="F19:F30">+((C19+D19)/2)*$F$7</f>
        <v>393.75</v>
      </c>
      <c r="G19" s="32">
        <f aca="true" t="shared" si="8" ref="G19:G30">C19*$G$7</f>
        <v>14.999999999999998</v>
      </c>
      <c r="H19" s="49">
        <f aca="true" t="shared" si="9" ref="H19:H30">SUM(E19:G19)</f>
        <v>1333.75</v>
      </c>
      <c r="I19" s="66">
        <v>0.2</v>
      </c>
      <c r="J19" s="92">
        <f aca="true" t="shared" si="10" ref="J19:J30">H19*I19</f>
        <v>266.75</v>
      </c>
    </row>
    <row r="20" spans="1:10" ht="12.75">
      <c r="A20" s="48" t="s">
        <v>74</v>
      </c>
      <c r="B20" s="61">
        <v>20</v>
      </c>
      <c r="C20" s="70">
        <v>19000</v>
      </c>
      <c r="D20" s="71">
        <f t="shared" si="5"/>
        <v>4940</v>
      </c>
      <c r="E20" s="49">
        <f t="shared" si="6"/>
        <v>703</v>
      </c>
      <c r="F20" s="32">
        <f t="shared" si="7"/>
        <v>598.5</v>
      </c>
      <c r="G20" s="32">
        <f t="shared" si="8"/>
        <v>22.799999999999997</v>
      </c>
      <c r="H20" s="49">
        <f t="shared" si="9"/>
        <v>1324.3</v>
      </c>
      <c r="I20" s="66">
        <v>0.25</v>
      </c>
      <c r="J20" s="92">
        <f t="shared" si="10"/>
        <v>331.075</v>
      </c>
    </row>
    <row r="21" spans="1:10" ht="12.75">
      <c r="A21" s="97" t="s">
        <v>141</v>
      </c>
      <c r="B21" s="61">
        <v>10</v>
      </c>
      <c r="C21" s="70">
        <v>2300</v>
      </c>
      <c r="D21" s="71">
        <f t="shared" si="5"/>
        <v>598</v>
      </c>
      <c r="E21" s="49">
        <f t="shared" si="6"/>
        <v>170.2</v>
      </c>
      <c r="F21" s="32">
        <f t="shared" si="7"/>
        <v>72.45</v>
      </c>
      <c r="G21" s="32">
        <f t="shared" si="8"/>
        <v>2.76</v>
      </c>
      <c r="H21" s="49">
        <f t="shared" si="9"/>
        <v>245.40999999999997</v>
      </c>
      <c r="I21" s="66">
        <v>0.1</v>
      </c>
      <c r="J21" s="92">
        <f t="shared" si="10"/>
        <v>24.540999999999997</v>
      </c>
    </row>
    <row r="22" spans="1:10" ht="12.75">
      <c r="A22" s="97" t="s">
        <v>135</v>
      </c>
      <c r="B22" s="61">
        <v>20</v>
      </c>
      <c r="C22" s="70">
        <v>3000</v>
      </c>
      <c r="D22" s="71">
        <f t="shared" si="5"/>
        <v>780</v>
      </c>
      <c r="E22" s="49">
        <f t="shared" si="6"/>
        <v>111</v>
      </c>
      <c r="F22" s="32">
        <f t="shared" si="7"/>
        <v>94.5</v>
      </c>
      <c r="G22" s="32">
        <f t="shared" si="8"/>
        <v>3.5999999999999996</v>
      </c>
      <c r="H22" s="49">
        <f t="shared" si="9"/>
        <v>209.1</v>
      </c>
      <c r="I22" s="66">
        <v>0.1</v>
      </c>
      <c r="J22" s="92">
        <f t="shared" si="10"/>
        <v>20.91</v>
      </c>
    </row>
    <row r="23" spans="1:10" ht="12.75">
      <c r="A23" s="97" t="s">
        <v>142</v>
      </c>
      <c r="B23" s="61">
        <v>10</v>
      </c>
      <c r="C23" s="70">
        <v>600</v>
      </c>
      <c r="D23" s="71">
        <f t="shared" si="5"/>
        <v>156</v>
      </c>
      <c r="E23" s="49">
        <f t="shared" si="6"/>
        <v>44.4</v>
      </c>
      <c r="F23" s="32">
        <f t="shared" si="7"/>
        <v>18.900000000000002</v>
      </c>
      <c r="G23" s="32">
        <f t="shared" si="8"/>
        <v>0.72</v>
      </c>
      <c r="H23" s="49">
        <f t="shared" si="9"/>
        <v>64.02</v>
      </c>
      <c r="I23" s="66">
        <v>0.1</v>
      </c>
      <c r="J23" s="92">
        <f t="shared" si="10"/>
        <v>6.402</v>
      </c>
    </row>
    <row r="24" spans="1:10" ht="12.75">
      <c r="A24" s="138" t="s">
        <v>306</v>
      </c>
      <c r="B24" s="61">
        <v>10</v>
      </c>
      <c r="C24" s="70">
        <v>1000</v>
      </c>
      <c r="D24" s="71">
        <f t="shared" si="5"/>
        <v>260</v>
      </c>
      <c r="E24" s="49">
        <f t="shared" si="6"/>
        <v>74</v>
      </c>
      <c r="F24" s="32">
        <f t="shared" si="7"/>
        <v>31.5</v>
      </c>
      <c r="G24" s="32">
        <f t="shared" si="8"/>
        <v>1.2</v>
      </c>
      <c r="H24" s="49">
        <f t="shared" si="9"/>
        <v>106.7</v>
      </c>
      <c r="I24" s="66">
        <v>0.25</v>
      </c>
      <c r="J24" s="92">
        <f t="shared" si="10"/>
        <v>26.675</v>
      </c>
    </row>
    <row r="25" spans="1:10" ht="12.75">
      <c r="A25" s="48" t="s">
        <v>102</v>
      </c>
      <c r="B25" s="61">
        <v>10</v>
      </c>
      <c r="C25" s="70">
        <v>27500</v>
      </c>
      <c r="D25" s="71">
        <f>C25*0.25</f>
        <v>6875</v>
      </c>
      <c r="E25" s="49">
        <f t="shared" si="6"/>
        <v>2062.5</v>
      </c>
      <c r="F25" s="32">
        <f t="shared" si="7"/>
        <v>859.375</v>
      </c>
      <c r="G25" s="32">
        <f t="shared" si="8"/>
        <v>33</v>
      </c>
      <c r="H25" s="49">
        <f t="shared" si="9"/>
        <v>2954.875</v>
      </c>
      <c r="I25" s="66">
        <v>0.1</v>
      </c>
      <c r="J25" s="92">
        <f t="shared" si="10"/>
        <v>295.4875</v>
      </c>
    </row>
    <row r="26" spans="1:10" ht="12.75">
      <c r="A26" s="97" t="s">
        <v>103</v>
      </c>
      <c r="B26" s="61">
        <v>10</v>
      </c>
      <c r="C26" s="70">
        <v>7000</v>
      </c>
      <c r="D26" s="71">
        <f>C26*0.26</f>
        <v>1820</v>
      </c>
      <c r="E26" s="49">
        <f t="shared" si="6"/>
        <v>518</v>
      </c>
      <c r="F26" s="32">
        <f t="shared" si="7"/>
        <v>220.5</v>
      </c>
      <c r="G26" s="32">
        <f t="shared" si="8"/>
        <v>8.399999999999999</v>
      </c>
      <c r="H26" s="49">
        <f t="shared" si="9"/>
        <v>746.9</v>
      </c>
      <c r="I26" s="66">
        <v>1</v>
      </c>
      <c r="J26" s="92">
        <f t="shared" si="10"/>
        <v>746.9</v>
      </c>
    </row>
    <row r="27" spans="1:10" ht="12.75">
      <c r="A27" s="98" t="s">
        <v>75</v>
      </c>
      <c r="B27" s="61">
        <v>1</v>
      </c>
      <c r="C27" s="70">
        <v>0</v>
      </c>
      <c r="D27" s="70">
        <v>0</v>
      </c>
      <c r="E27" s="49">
        <f t="shared" si="6"/>
        <v>0</v>
      </c>
      <c r="F27" s="32">
        <f t="shared" si="7"/>
        <v>0</v>
      </c>
      <c r="G27" s="32">
        <f t="shared" si="8"/>
        <v>0</v>
      </c>
      <c r="H27" s="49">
        <f t="shared" si="9"/>
        <v>0</v>
      </c>
      <c r="I27" s="66">
        <v>0</v>
      </c>
      <c r="J27" s="92">
        <f t="shared" si="10"/>
        <v>0</v>
      </c>
    </row>
    <row r="28" spans="1:10" ht="12.75">
      <c r="A28" s="135" t="s">
        <v>139</v>
      </c>
      <c r="B28" s="68">
        <v>10</v>
      </c>
      <c r="C28" s="69">
        <v>0</v>
      </c>
      <c r="D28" s="69">
        <v>0</v>
      </c>
      <c r="E28" s="32">
        <f t="shared" si="6"/>
        <v>0</v>
      </c>
      <c r="F28" s="32">
        <f t="shared" si="7"/>
        <v>0</v>
      </c>
      <c r="G28" s="32">
        <f t="shared" si="8"/>
        <v>0</v>
      </c>
      <c r="H28" s="32">
        <f t="shared" si="9"/>
        <v>0</v>
      </c>
      <c r="I28" s="66">
        <v>1</v>
      </c>
      <c r="J28" s="92">
        <f t="shared" si="10"/>
        <v>0</v>
      </c>
    </row>
    <row r="29" spans="1:10" ht="14.25">
      <c r="A29" t="s">
        <v>124</v>
      </c>
      <c r="B29" s="68">
        <v>3</v>
      </c>
      <c r="C29" s="69">
        <v>4800</v>
      </c>
      <c r="D29" s="72"/>
      <c r="E29" s="31" t="s">
        <v>31</v>
      </c>
      <c r="F29" s="32">
        <f t="shared" si="7"/>
        <v>120</v>
      </c>
      <c r="G29" s="72">
        <f t="shared" si="8"/>
        <v>5.76</v>
      </c>
      <c r="H29" s="32">
        <f t="shared" si="9"/>
        <v>125.76</v>
      </c>
      <c r="I29" s="66">
        <v>1</v>
      </c>
      <c r="J29" s="92">
        <f t="shared" si="10"/>
        <v>125.76</v>
      </c>
    </row>
    <row r="30" spans="1:10" ht="14.25">
      <c r="A30" t="s">
        <v>125</v>
      </c>
      <c r="B30" s="68">
        <v>2</v>
      </c>
      <c r="C30" s="69">
        <v>600</v>
      </c>
      <c r="D30" s="72"/>
      <c r="E30" s="31" t="s">
        <v>31</v>
      </c>
      <c r="F30" s="32">
        <f t="shared" si="7"/>
        <v>15</v>
      </c>
      <c r="G30" s="72">
        <f t="shared" si="8"/>
        <v>0.72</v>
      </c>
      <c r="H30" s="32">
        <f t="shared" si="9"/>
        <v>15.72</v>
      </c>
      <c r="I30" s="66">
        <v>1</v>
      </c>
      <c r="J30" s="92">
        <f t="shared" si="10"/>
        <v>15.72</v>
      </c>
    </row>
    <row r="31" spans="1:10" ht="12.75">
      <c r="A31" s="46" t="s">
        <v>46</v>
      </c>
      <c r="B31" s="46"/>
      <c r="C31" s="47"/>
      <c r="D31" s="47"/>
      <c r="E31" s="47"/>
      <c r="F31" s="47"/>
      <c r="G31" s="47"/>
      <c r="H31" s="47"/>
      <c r="I31" s="45"/>
      <c r="J31" s="93">
        <f>SUM(J9:J30)</f>
        <v>10616.417833333333</v>
      </c>
    </row>
    <row r="32" ht="14.25">
      <c r="A32" s="14" t="s">
        <v>20</v>
      </c>
    </row>
    <row r="33" ht="14.25">
      <c r="A33" s="13" t="s">
        <v>48</v>
      </c>
    </row>
    <row r="34" ht="14.25">
      <c r="A34" s="13" t="s">
        <v>47</v>
      </c>
    </row>
    <row r="35" ht="14.25">
      <c r="A35" s="13" t="s">
        <v>154</v>
      </c>
    </row>
    <row r="36" ht="14.25">
      <c r="A36" s="13" t="s">
        <v>126</v>
      </c>
    </row>
    <row r="37" ht="12.75">
      <c r="A37" s="23"/>
    </row>
    <row r="38" spans="1:12" ht="12.75">
      <c r="A38" s="56" t="s">
        <v>265</v>
      </c>
      <c r="B38" s="56"/>
      <c r="C38" s="29"/>
      <c r="D38" s="29"/>
      <c r="E38" s="29"/>
      <c r="F38" s="29"/>
      <c r="G38" s="29"/>
      <c r="H38" s="30"/>
      <c r="I38" s="30"/>
      <c r="J38" s="30"/>
      <c r="K38" s="30"/>
      <c r="L38" s="30"/>
    </row>
    <row r="39" spans="1:12" ht="12.75">
      <c r="A39" s="74" t="s">
        <v>49</v>
      </c>
      <c r="B39" s="43" t="s">
        <v>50</v>
      </c>
      <c r="C39" s="43" t="s">
        <v>51</v>
      </c>
      <c r="D39" s="43" t="s">
        <v>51</v>
      </c>
      <c r="E39" s="43" t="s">
        <v>41</v>
      </c>
      <c r="F39" s="43" t="s">
        <v>52</v>
      </c>
      <c r="G39" s="43" t="s">
        <v>53</v>
      </c>
      <c r="H39" s="43" t="s">
        <v>54</v>
      </c>
      <c r="I39" s="43" t="s">
        <v>55</v>
      </c>
      <c r="J39" s="43" t="s">
        <v>56</v>
      </c>
      <c r="K39" s="75" t="s">
        <v>57</v>
      </c>
      <c r="L39" s="75" t="s">
        <v>7</v>
      </c>
    </row>
    <row r="40" spans="1:12" ht="14.25">
      <c r="A40" s="44" t="s">
        <v>58</v>
      </c>
      <c r="B40" s="44" t="s">
        <v>59</v>
      </c>
      <c r="C40" s="76" t="s">
        <v>60</v>
      </c>
      <c r="D40" s="44" t="s">
        <v>61</v>
      </c>
      <c r="E40" s="77" t="s">
        <v>42</v>
      </c>
      <c r="F40" s="44" t="s">
        <v>62</v>
      </c>
      <c r="G40" s="44" t="s">
        <v>12</v>
      </c>
      <c r="H40" s="44" t="s">
        <v>63</v>
      </c>
      <c r="I40" s="44" t="s">
        <v>76</v>
      </c>
      <c r="J40" s="44" t="s">
        <v>77</v>
      </c>
      <c r="K40" s="77" t="s">
        <v>64</v>
      </c>
      <c r="L40" s="77" t="s">
        <v>65</v>
      </c>
    </row>
    <row r="41" spans="1:12" ht="14.25">
      <c r="A41" s="78"/>
      <c r="B41" s="78"/>
      <c r="C41" s="79" t="s">
        <v>43</v>
      </c>
      <c r="D41" s="79" t="s">
        <v>66</v>
      </c>
      <c r="E41" s="79" t="s">
        <v>16</v>
      </c>
      <c r="F41" s="79" t="s">
        <v>67</v>
      </c>
      <c r="G41" s="79" t="s">
        <v>68</v>
      </c>
      <c r="H41" s="79" t="s">
        <v>68</v>
      </c>
      <c r="I41" s="79" t="s">
        <v>69</v>
      </c>
      <c r="J41" s="79" t="s">
        <v>16</v>
      </c>
      <c r="K41" s="79" t="s">
        <v>16</v>
      </c>
      <c r="L41" s="79" t="s">
        <v>16</v>
      </c>
    </row>
    <row r="42" spans="1:12" ht="12.75">
      <c r="A42" s="30" t="s">
        <v>70</v>
      </c>
      <c r="B42" s="29"/>
      <c r="C42" s="80"/>
      <c r="D42" s="80"/>
      <c r="E42" s="80"/>
      <c r="F42" s="80"/>
      <c r="G42" s="81">
        <v>3.75</v>
      </c>
      <c r="H42" s="80"/>
      <c r="I42" s="80"/>
      <c r="J42" s="80"/>
      <c r="K42" s="82">
        <v>10</v>
      </c>
      <c r="L42" s="80"/>
    </row>
    <row r="43" spans="1:12" ht="12.75">
      <c r="A43" s="30" t="str">
        <f aca="true" t="shared" si="11" ref="A43:A52">A18</f>
        <v>Feeding, pasture &amp; livestock management:</v>
      </c>
      <c r="B43" s="29"/>
      <c r="C43" s="80"/>
      <c r="D43" s="109"/>
      <c r="E43" s="109"/>
      <c r="F43" s="109"/>
      <c r="G43" s="118"/>
      <c r="H43" s="114"/>
      <c r="I43" s="109"/>
      <c r="J43" s="114"/>
      <c r="K43" s="115"/>
      <c r="L43" s="109"/>
    </row>
    <row r="44" spans="1:12" ht="12.75">
      <c r="A44" s="30" t="str">
        <f t="shared" si="11"/>
        <v>4-wheeler</v>
      </c>
      <c r="B44" s="85"/>
      <c r="C44" s="83">
        <v>0.02</v>
      </c>
      <c r="D44" s="84">
        <f aca="true" t="shared" si="12" ref="D44:D52">C19*C44</f>
        <v>250</v>
      </c>
      <c r="E44" s="84">
        <f>(D44*I25)</f>
        <v>25</v>
      </c>
      <c r="F44" s="270">
        <v>1</v>
      </c>
      <c r="G44" s="118">
        <f>F44*$G$42</f>
        <v>3.75</v>
      </c>
      <c r="H44" s="116">
        <f>G44*1.15</f>
        <v>4.3125</v>
      </c>
      <c r="I44" s="100">
        <v>182.5</v>
      </c>
      <c r="J44" s="116">
        <f aca="true" t="shared" si="13" ref="J44:J52">E44+(H44*I44)</f>
        <v>812.03125</v>
      </c>
      <c r="K44" s="192">
        <f>I44*$K$42</f>
        <v>1825</v>
      </c>
      <c r="L44" s="193">
        <f aca="true" t="shared" si="14" ref="L44:L52">J44+K44</f>
        <v>2637.03125</v>
      </c>
    </row>
    <row r="45" spans="1:12" ht="12.75">
      <c r="A45" s="30" t="str">
        <f t="shared" si="11"/>
        <v>Tractor </v>
      </c>
      <c r="B45" s="99">
        <v>35</v>
      </c>
      <c r="C45" s="83">
        <v>0.02</v>
      </c>
      <c r="D45" s="84">
        <f t="shared" si="12"/>
        <v>380</v>
      </c>
      <c r="E45" s="84">
        <f>(D45*I19)</f>
        <v>76</v>
      </c>
      <c r="F45" s="85">
        <f>B45*0.044</f>
        <v>1.5399999999999998</v>
      </c>
      <c r="G45" s="118">
        <f>F45*$G$42</f>
        <v>5.7749999999999995</v>
      </c>
      <c r="H45" s="116">
        <f>G45*1.15</f>
        <v>6.6412499999999985</v>
      </c>
      <c r="I45" s="100">
        <v>136</v>
      </c>
      <c r="J45" s="116">
        <f t="shared" si="13"/>
        <v>979.2099999999998</v>
      </c>
      <c r="K45" s="192">
        <f>I45*$K$42</f>
        <v>1360</v>
      </c>
      <c r="L45" s="193">
        <f t="shared" si="14"/>
        <v>2339.21</v>
      </c>
    </row>
    <row r="46" spans="1:12" ht="12.75">
      <c r="A46" s="30" t="str">
        <f t="shared" si="11"/>
        <v>+ spinner seeder</v>
      </c>
      <c r="B46" s="30"/>
      <c r="C46" s="83">
        <v>0.01</v>
      </c>
      <c r="D46" s="84">
        <f t="shared" si="12"/>
        <v>23</v>
      </c>
      <c r="E46" s="84">
        <f>(D46*I19)</f>
        <v>4.6000000000000005</v>
      </c>
      <c r="F46" s="85">
        <v>0</v>
      </c>
      <c r="G46" s="118">
        <v>0</v>
      </c>
      <c r="H46" s="116">
        <v>0</v>
      </c>
      <c r="I46" s="269">
        <v>12</v>
      </c>
      <c r="J46" s="116">
        <f t="shared" si="13"/>
        <v>4.6000000000000005</v>
      </c>
      <c r="K46" s="117"/>
      <c r="L46" s="193">
        <f t="shared" si="14"/>
        <v>4.6000000000000005</v>
      </c>
    </row>
    <row r="47" spans="1:12" ht="12.75">
      <c r="A47" s="30" t="str">
        <f t="shared" si="11"/>
        <v>+ front end loader</v>
      </c>
      <c r="B47" s="85"/>
      <c r="C47" s="83">
        <v>0.02</v>
      </c>
      <c r="D47" s="84">
        <f t="shared" si="12"/>
        <v>60</v>
      </c>
      <c r="E47" s="84">
        <f>(D47*I20)</f>
        <v>15</v>
      </c>
      <c r="F47" s="85">
        <v>0</v>
      </c>
      <c r="G47" s="118">
        <v>0</v>
      </c>
      <c r="H47" s="116">
        <v>0</v>
      </c>
      <c r="I47" s="269">
        <v>52</v>
      </c>
      <c r="J47" s="116">
        <f t="shared" si="13"/>
        <v>15</v>
      </c>
      <c r="K47" s="117"/>
      <c r="L47" s="193">
        <f t="shared" si="14"/>
        <v>15</v>
      </c>
    </row>
    <row r="48" spans="1:12" ht="12.75">
      <c r="A48" s="30" t="str">
        <f t="shared" si="11"/>
        <v>+ blade or harrow</v>
      </c>
      <c r="B48" s="86"/>
      <c r="C48" s="83">
        <v>0.01</v>
      </c>
      <c r="D48" s="84">
        <f t="shared" si="12"/>
        <v>6</v>
      </c>
      <c r="E48" s="84">
        <f>(D48*I20)</f>
        <v>1.5</v>
      </c>
      <c r="F48" s="85">
        <v>0</v>
      </c>
      <c r="G48" s="118">
        <v>0</v>
      </c>
      <c r="H48" s="116">
        <v>0</v>
      </c>
      <c r="I48" s="269">
        <v>20</v>
      </c>
      <c r="J48" s="116">
        <f t="shared" si="13"/>
        <v>1.5</v>
      </c>
      <c r="K48" s="117"/>
      <c r="L48" s="193">
        <f t="shared" si="14"/>
        <v>1.5</v>
      </c>
    </row>
    <row r="49" spans="1:12" ht="12.75">
      <c r="A49" s="30" t="str">
        <f t="shared" si="11"/>
        <v>+ other tractor equip.</v>
      </c>
      <c r="B49" s="86"/>
      <c r="C49" s="83">
        <v>0.02</v>
      </c>
      <c r="D49" s="84">
        <f t="shared" si="12"/>
        <v>20</v>
      </c>
      <c r="E49" s="84">
        <f>(D49*I21)</f>
        <v>2</v>
      </c>
      <c r="F49" s="85">
        <v>0</v>
      </c>
      <c r="G49" s="118">
        <v>0</v>
      </c>
      <c r="H49" s="116">
        <v>0</v>
      </c>
      <c r="I49" s="269">
        <v>52</v>
      </c>
      <c r="J49" s="116">
        <f t="shared" si="13"/>
        <v>2</v>
      </c>
      <c r="K49" s="117"/>
      <c r="L49" s="193">
        <f t="shared" si="14"/>
        <v>2</v>
      </c>
    </row>
    <row r="50" spans="1:12" ht="12.75">
      <c r="A50" s="30" t="str">
        <f t="shared" si="11"/>
        <v>Pickup </v>
      </c>
      <c r="B50" s="86"/>
      <c r="C50" s="83">
        <v>0.01</v>
      </c>
      <c r="D50" s="84">
        <f t="shared" si="12"/>
        <v>275</v>
      </c>
      <c r="E50" s="84">
        <f>(D50*I22)</f>
        <v>27.5</v>
      </c>
      <c r="F50" s="271">
        <v>2.5</v>
      </c>
      <c r="G50" s="118">
        <f>F50*$G$42</f>
        <v>9.375</v>
      </c>
      <c r="H50" s="116">
        <v>0</v>
      </c>
      <c r="I50" s="269">
        <v>183</v>
      </c>
      <c r="J50" s="116">
        <f t="shared" si="13"/>
        <v>27.5</v>
      </c>
      <c r="K50" s="192">
        <f>I50*$K$42</f>
        <v>1830</v>
      </c>
      <c r="L50" s="193">
        <f t="shared" si="14"/>
        <v>1857.5</v>
      </c>
    </row>
    <row r="51" spans="1:12" ht="12.75">
      <c r="A51" s="30" t="str">
        <f t="shared" si="11"/>
        <v>+ stock trailer</v>
      </c>
      <c r="B51" s="110"/>
      <c r="C51" s="83">
        <v>0.02</v>
      </c>
      <c r="D51" s="84">
        <f t="shared" si="12"/>
        <v>140</v>
      </c>
      <c r="E51" s="84">
        <f>(D51*I24)</f>
        <v>35</v>
      </c>
      <c r="F51" s="85">
        <v>0</v>
      </c>
      <c r="G51" s="118">
        <v>0</v>
      </c>
      <c r="H51" s="116">
        <v>0</v>
      </c>
      <c r="I51" s="269">
        <v>120</v>
      </c>
      <c r="J51" s="116">
        <f t="shared" si="13"/>
        <v>35</v>
      </c>
      <c r="K51" s="117"/>
      <c r="L51" s="193">
        <f t="shared" si="14"/>
        <v>35</v>
      </c>
    </row>
    <row r="52" spans="1:12" ht="12.75">
      <c r="A52" s="30" t="str">
        <f t="shared" si="11"/>
        <v>Other equipment </v>
      </c>
      <c r="B52" s="85"/>
      <c r="C52" s="83">
        <v>0.01</v>
      </c>
      <c r="D52" s="84">
        <f t="shared" si="12"/>
        <v>0</v>
      </c>
      <c r="E52" s="84">
        <f>(D52*I25)</f>
        <v>0</v>
      </c>
      <c r="F52" s="85">
        <v>0</v>
      </c>
      <c r="G52" s="118">
        <v>0</v>
      </c>
      <c r="H52" s="116">
        <v>0</v>
      </c>
      <c r="I52" s="269">
        <v>0</v>
      </c>
      <c r="J52" s="116">
        <f t="shared" si="13"/>
        <v>0</v>
      </c>
      <c r="K52" s="115"/>
      <c r="L52" s="193">
        <f t="shared" si="14"/>
        <v>0</v>
      </c>
    </row>
    <row r="53" spans="1:12" ht="12.75">
      <c r="A53" s="87" t="s">
        <v>46</v>
      </c>
      <c r="B53" s="87"/>
      <c r="C53" s="87"/>
      <c r="D53" s="87"/>
      <c r="E53" s="87"/>
      <c r="F53" s="87"/>
      <c r="G53" s="87"/>
      <c r="H53" s="87"/>
      <c r="I53" s="87"/>
      <c r="J53" s="119">
        <f>SUM(J44:J52)</f>
        <v>1876.8412499999997</v>
      </c>
      <c r="K53" s="119">
        <f>SUM(K44:K52)</f>
        <v>5015</v>
      </c>
      <c r="L53" s="119">
        <f>SUM(L44:L52)</f>
        <v>6891.84125</v>
      </c>
    </row>
    <row r="54" spans="1:12" ht="14.25">
      <c r="A54" s="88" t="s">
        <v>71</v>
      </c>
      <c r="B54" s="58"/>
      <c r="C54" s="58"/>
      <c r="D54" s="58"/>
      <c r="E54" s="58"/>
      <c r="F54" s="58"/>
      <c r="G54" s="58"/>
      <c r="H54" s="58"/>
      <c r="I54" s="58"/>
      <c r="J54" s="120"/>
      <c r="K54" s="120"/>
      <c r="L54" s="58"/>
    </row>
    <row r="55" spans="1:12" ht="14.25">
      <c r="A55" s="89" t="s">
        <v>72</v>
      </c>
      <c r="B55" s="1"/>
      <c r="C55" s="1"/>
      <c r="D55" s="1"/>
      <c r="E55" s="1"/>
      <c r="F55" s="1"/>
      <c r="G55" s="1"/>
      <c r="H55" s="1"/>
      <c r="I55" s="1"/>
      <c r="J55" s="111"/>
      <c r="K55" s="111"/>
      <c r="L55" s="1"/>
    </row>
    <row r="56" spans="1:11" ht="14.25">
      <c r="A56" s="89" t="s">
        <v>81</v>
      </c>
      <c r="B56" s="1"/>
      <c r="C56" s="1"/>
      <c r="D56" s="1"/>
      <c r="E56" s="1"/>
      <c r="F56" s="1"/>
      <c r="G56" s="1"/>
      <c r="H56" s="1"/>
      <c r="J56" s="101"/>
      <c r="K56" s="101"/>
    </row>
    <row r="57" spans="1:12" ht="15" customHeight="1">
      <c r="A57" s="94" t="s">
        <v>82</v>
      </c>
      <c r="B57" s="1"/>
      <c r="C57" s="1"/>
      <c r="D57" s="1"/>
      <c r="E57" s="1"/>
      <c r="F57" s="1"/>
      <c r="G57" s="1"/>
      <c r="H57" s="1"/>
      <c r="J57" s="101"/>
      <c r="K57" s="111"/>
      <c r="L57" s="1"/>
    </row>
    <row r="58" spans="1:12" ht="9" customHeight="1" thickBot="1">
      <c r="A58" s="199"/>
      <c r="B58" s="24"/>
      <c r="C58" s="24"/>
      <c r="D58" s="24"/>
      <c r="E58" s="24"/>
      <c r="F58" s="24"/>
      <c r="G58" s="24"/>
      <c r="H58" s="24"/>
      <c r="I58" s="24"/>
      <c r="J58" s="200"/>
      <c r="K58" s="200"/>
      <c r="L58" s="24"/>
    </row>
    <row r="59" spans="1:12" ht="13.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sheet="1" selectLockedCells="1"/>
  <printOptions horizontalCentered="1"/>
  <pageMargins left="0.55" right="0.38" top="0.89" bottom="1" header="0.5" footer="0.5"/>
  <pageSetup horizontalDpi="600" verticalDpi="600" orientation="portrait" scale="72" r:id="rId1"/>
  <rowBreaks count="1" manualBreakCount="1">
    <brk id="5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="80" zoomScaleNormal="80" workbookViewId="0" topLeftCell="A1">
      <selection activeCell="C15" sqref="C15"/>
    </sheetView>
  </sheetViews>
  <sheetFormatPr defaultColWidth="9.140625" defaultRowHeight="12.75"/>
  <cols>
    <col min="1" max="1" width="25.28125" style="0" customWidth="1"/>
    <col min="2" max="2" width="9.421875" style="0" bestFit="1" customWidth="1"/>
    <col min="3" max="3" width="10.140625" style="0" customWidth="1"/>
    <col min="5" max="5" width="10.140625" style="0" customWidth="1"/>
    <col min="7" max="7" width="11.28125" style="0" customWidth="1"/>
  </cols>
  <sheetData>
    <row r="1" spans="1:11" ht="15.75">
      <c r="A1" s="15" t="s">
        <v>257</v>
      </c>
      <c r="G1" s="10"/>
      <c r="K1" s="26" t="str">
        <f>'DrylotFtFBudget-1'!G1</f>
        <v>Budget Sows-OSO1</v>
      </c>
    </row>
    <row r="2" spans="1:12" ht="15.75">
      <c r="A2" s="15"/>
      <c r="G2" s="10"/>
      <c r="L2" s="26"/>
    </row>
    <row r="3" ht="14.25">
      <c r="A3" s="244" t="s">
        <v>78</v>
      </c>
    </row>
    <row r="5" spans="1:10" ht="14.25">
      <c r="A5" s="244" t="s">
        <v>309</v>
      </c>
      <c r="B5" s="244"/>
      <c r="C5" s="244"/>
      <c r="D5" s="244"/>
      <c r="E5" s="244"/>
      <c r="F5" s="244"/>
      <c r="G5" s="244"/>
      <c r="H5" s="244"/>
      <c r="I5" s="244"/>
      <c r="J5" s="244"/>
    </row>
    <row r="6" spans="1:10" ht="14.25">
      <c r="A6" s="244" t="s">
        <v>325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4.25">
      <c r="A7" s="244" t="s">
        <v>310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ht="14.25">
      <c r="A8" s="244" t="s">
        <v>326</v>
      </c>
      <c r="B8" s="244"/>
      <c r="C8" s="244"/>
      <c r="D8" s="244"/>
      <c r="E8" s="244"/>
      <c r="F8" s="244"/>
      <c r="G8" s="244"/>
      <c r="H8" s="244"/>
      <c r="I8" s="244"/>
      <c r="J8" s="244"/>
    </row>
    <row r="9" spans="1:10" ht="14.25">
      <c r="A9" s="244" t="s">
        <v>327</v>
      </c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4.25">
      <c r="A10" s="244" t="s">
        <v>328</v>
      </c>
      <c r="B10" s="244"/>
      <c r="C10" s="244"/>
      <c r="D10" s="244"/>
      <c r="E10" s="244"/>
      <c r="F10" s="244"/>
      <c r="G10" s="244"/>
      <c r="H10" s="244"/>
      <c r="I10" s="244"/>
      <c r="J10" s="244"/>
    </row>
    <row r="11" spans="1:10" ht="14.25">
      <c r="A11" s="244" t="s">
        <v>316</v>
      </c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10" ht="14.25">
      <c r="A12" s="244"/>
      <c r="B12" s="244"/>
      <c r="C12" s="244"/>
      <c r="D12" s="244"/>
      <c r="E12" s="244"/>
      <c r="F12" s="244"/>
      <c r="G12" s="244"/>
      <c r="H12" s="244"/>
      <c r="I12" s="244"/>
      <c r="J12" s="244"/>
    </row>
    <row r="13" spans="1:10" ht="14.25">
      <c r="A13" s="244" t="s">
        <v>311</v>
      </c>
      <c r="B13" s="244"/>
      <c r="C13" s="244"/>
      <c r="D13" s="244"/>
      <c r="E13" s="244"/>
      <c r="F13" s="244"/>
      <c r="G13" s="244"/>
      <c r="H13" s="244"/>
      <c r="I13" s="244"/>
      <c r="J13" s="244"/>
    </row>
    <row r="14" spans="2:7" ht="15">
      <c r="B14" s="244"/>
      <c r="C14" s="249"/>
      <c r="D14" s="249"/>
      <c r="E14" s="250" t="s">
        <v>32</v>
      </c>
      <c r="F14" s="249"/>
      <c r="G14" s="249"/>
    </row>
    <row r="15" spans="2:7" ht="14.25">
      <c r="B15" s="244"/>
      <c r="C15" s="251">
        <v>-0.1</v>
      </c>
      <c r="D15" s="244"/>
      <c r="E15" s="243" t="s">
        <v>33</v>
      </c>
      <c r="F15" s="244"/>
      <c r="G15" s="251">
        <v>0.1</v>
      </c>
    </row>
    <row r="16" spans="2:7" ht="14.25">
      <c r="B16" s="244"/>
      <c r="C16" s="243" t="s">
        <v>34</v>
      </c>
      <c r="D16" s="244"/>
      <c r="E16" s="243" t="s">
        <v>35</v>
      </c>
      <c r="F16" s="244"/>
      <c r="G16" s="243" t="s">
        <v>36</v>
      </c>
    </row>
    <row r="17" spans="2:7" ht="14.25">
      <c r="B17" s="252">
        <v>-0.1</v>
      </c>
      <c r="C17" s="253">
        <f>('DrylotFtFBudget-1'!F57*(1+C15))-('DrylotFtFBudget-1'!F46*(1+B17))</f>
        <v>-5111.679570937515</v>
      </c>
      <c r="D17" s="254"/>
      <c r="E17" s="254">
        <f>+'DrylotFtFBudget-1'!F57-('DrylotFtFBudget-1'!F46*(1+B17))</f>
        <v>3236.3204290624853</v>
      </c>
      <c r="F17" s="254"/>
      <c r="G17" s="255">
        <f>('DrylotFtFBudget-1'!F57*(1+G15))-('DrylotFtFBudget-1'!F46*(1+B17))</f>
        <v>11584.3204290625</v>
      </c>
    </row>
    <row r="18" spans="2:7" ht="15" thickBot="1">
      <c r="B18" s="249"/>
      <c r="C18" s="256"/>
      <c r="D18" s="257"/>
      <c r="E18" s="257"/>
      <c r="F18" s="257"/>
      <c r="G18" s="258"/>
    </row>
    <row r="19" spans="1:7" ht="15.75" thickBot="1" thickTop="1">
      <c r="A19" s="28" t="s">
        <v>37</v>
      </c>
      <c r="B19" s="259" t="s">
        <v>33</v>
      </c>
      <c r="C19" s="256">
        <f>('DrylotFtFBudget-1'!F57*(1+C15))-'DrylotFtFBudget-1'!F46</f>
        <v>-14027.64396770834</v>
      </c>
      <c r="D19" s="257"/>
      <c r="E19" s="260">
        <f>+'DrylotFtFBudget-1'!F61</f>
        <v>-5679.64396770834</v>
      </c>
      <c r="F19" s="257"/>
      <c r="G19" s="258">
        <f>('DrylotFtFBudget-1'!F57*(1+G15))-'DrylotFtFBudget-1'!F46</f>
        <v>2668.3560322916746</v>
      </c>
    </row>
    <row r="20" spans="2:7" ht="15" thickTop="1">
      <c r="B20" s="249"/>
      <c r="C20" s="256"/>
      <c r="D20" s="257"/>
      <c r="E20" s="257"/>
      <c r="F20" s="257"/>
      <c r="G20" s="258"/>
    </row>
    <row r="21" spans="2:12" ht="14.25">
      <c r="B21" s="261" t="s">
        <v>38</v>
      </c>
      <c r="C21" s="262">
        <f>('DrylotFtFBudget-1'!F57*(1+C15))-('DrylotFtFBudget-1'!F46*(1+B21))</f>
        <v>-22943.60836447918</v>
      </c>
      <c r="D21" s="263"/>
      <c r="E21" s="263">
        <f>'DrylotFtFBudget-1'!F57-('DrylotFtFBudget-1'!F46*(1+B21))</f>
        <v>-14595.60836447918</v>
      </c>
      <c r="F21" s="263"/>
      <c r="G21" s="264">
        <f>('DrylotFtFBudget-1'!F57*(1+G15))-('DrylotFtFBudget-1'!F46*(1+B21))</f>
        <v>-6247.608364479165</v>
      </c>
      <c r="K21" s="1"/>
      <c r="L21" s="1"/>
    </row>
    <row r="22" spans="1:12" ht="13.5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"/>
    </row>
    <row r="23" ht="13.5" thickTop="1">
      <c r="L23" s="1"/>
    </row>
    <row r="24" spans="1:12" ht="15.75">
      <c r="A24" s="242" t="s">
        <v>266</v>
      </c>
      <c r="L24" s="1"/>
    </row>
    <row r="25" ht="12.75">
      <c r="L25" s="1"/>
    </row>
    <row r="26" spans="1:12" ht="15">
      <c r="A26" s="241" t="s">
        <v>268</v>
      </c>
      <c r="B26" s="243" t="s">
        <v>16</v>
      </c>
      <c r="C26" s="243" t="s">
        <v>43</v>
      </c>
      <c r="L26" s="1"/>
    </row>
    <row r="27" spans="1:12" ht="14.25">
      <c r="A27" s="244" t="s">
        <v>321</v>
      </c>
      <c r="B27" s="245">
        <f>SUM('DrylotFtFBudget-1'!F10:F14)</f>
        <v>13633.400000000001</v>
      </c>
      <c r="C27" s="246">
        <f aca="true" t="shared" si="0" ref="C27:C32">B27/$B$32</f>
        <v>0.15290998699969818</v>
      </c>
      <c r="L27" s="1"/>
    </row>
    <row r="28" spans="1:12" ht="14.25">
      <c r="A28" s="244" t="s">
        <v>301</v>
      </c>
      <c r="B28" s="245">
        <f>SUM('DrylotFtFBudget-1'!F15:F18)</f>
        <v>45696.850000000006</v>
      </c>
      <c r="C28" s="246">
        <f t="shared" si="0"/>
        <v>0.5125284037310691</v>
      </c>
      <c r="L28" s="1"/>
    </row>
    <row r="29" spans="1:12" ht="14.25">
      <c r="A29" s="244" t="s">
        <v>312</v>
      </c>
      <c r="B29" s="245">
        <f>'DrylotFtFBudget-1'!F31-'Risk + Chart'!B27-'Risk + Chart'!B28</f>
        <v>9797.976134374992</v>
      </c>
      <c r="C29" s="246">
        <f t="shared" si="0"/>
        <v>0.10989249954748141</v>
      </c>
      <c r="L29" s="1"/>
    </row>
    <row r="30" spans="1:12" ht="14.25">
      <c r="A30" s="244" t="s">
        <v>269</v>
      </c>
      <c r="B30" s="245">
        <f>'DrylotFtFBudget-1'!F38</f>
        <v>10616.417833333335</v>
      </c>
      <c r="C30" s="246">
        <f t="shared" si="0"/>
        <v>0.11907200792746961</v>
      </c>
      <c r="L30" s="1"/>
    </row>
    <row r="31" spans="1:12" ht="14.25">
      <c r="A31" s="244" t="s">
        <v>313</v>
      </c>
      <c r="B31" s="245">
        <f>'DrylotFtFBudget-1'!F44</f>
        <v>9415</v>
      </c>
      <c r="C31" s="247">
        <f t="shared" si="0"/>
        <v>0.10559710179428157</v>
      </c>
      <c r="L31" s="1"/>
    </row>
    <row r="32" spans="1:12" ht="15">
      <c r="A32" s="241" t="s">
        <v>7</v>
      </c>
      <c r="B32" s="248">
        <f>SUM(B27:B31)</f>
        <v>89159.64396770834</v>
      </c>
      <c r="C32" s="246">
        <f t="shared" si="0"/>
        <v>1</v>
      </c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spans="1:12" ht="15" thickBo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1"/>
    </row>
    <row r="53" spans="1:12" ht="6" customHeight="1" thickTop="1">
      <c r="A53" s="26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1"/>
    </row>
    <row r="58" spans="1:3" ht="12.75">
      <c r="A58" s="57"/>
      <c r="B58" s="11"/>
      <c r="C58" s="206"/>
    </row>
    <row r="59" spans="2:3" ht="12.75">
      <c r="B59" s="38"/>
      <c r="C59" s="207"/>
    </row>
    <row r="60" spans="2:3" ht="12.75">
      <c r="B60" s="38"/>
      <c r="C60" s="207"/>
    </row>
    <row r="61" spans="2:3" ht="12.75">
      <c r="B61" s="38"/>
      <c r="C61" s="207"/>
    </row>
    <row r="62" spans="2:3" ht="12.75">
      <c r="B62" s="38"/>
      <c r="C62" s="207"/>
    </row>
    <row r="63" spans="2:3" ht="12.75">
      <c r="B63" s="35"/>
      <c r="C63" s="212"/>
    </row>
    <row r="64" spans="1:3" ht="12.75">
      <c r="A64" s="57"/>
      <c r="B64" s="35"/>
      <c r="C64" s="212"/>
    </row>
  </sheetData>
  <sheetProtection sheet="1" selectLockedCells="1"/>
  <printOptions/>
  <pageMargins left="0.7" right="0.7" top="0.75" bottom="0.75" header="0.3" footer="0.3"/>
  <pageSetup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90" zoomScaleNormal="90" zoomScaleSheetLayoutView="75" workbookViewId="0" topLeftCell="A1">
      <selection activeCell="A3" sqref="A3"/>
    </sheetView>
  </sheetViews>
  <sheetFormatPr defaultColWidth="9.140625" defaultRowHeight="12.75"/>
  <cols>
    <col min="3" max="3" width="2.8515625" style="0" customWidth="1"/>
    <col min="4" max="4" width="9.140625" style="0" customWidth="1"/>
    <col min="5" max="5" width="11.57421875" style="0" customWidth="1"/>
    <col min="6" max="6" width="8.00390625" style="0" customWidth="1"/>
    <col min="7" max="7" width="5.140625" style="0" customWidth="1"/>
    <col min="8" max="8" width="4.421875" style="0" customWidth="1"/>
    <col min="9" max="14" width="8.7109375" style="0" customWidth="1"/>
  </cols>
  <sheetData>
    <row r="1" spans="1:14" ht="15.75">
      <c r="A1" s="15" t="s">
        <v>257</v>
      </c>
      <c r="G1" s="10"/>
      <c r="N1" s="26" t="str">
        <f>'DrylotFtFBudget-1'!G1</f>
        <v>Budget Sows-OSO1</v>
      </c>
    </row>
    <row r="3" spans="1:3" ht="12.75">
      <c r="A3" s="57" t="s">
        <v>175</v>
      </c>
      <c r="B3" s="122"/>
      <c r="C3" s="122"/>
    </row>
    <row r="5" spans="1:3" ht="12.75">
      <c r="A5" s="122" t="s">
        <v>176</v>
      </c>
      <c r="B5" s="122"/>
      <c r="C5" s="122"/>
    </row>
    <row r="6" spans="1:3" ht="12.75">
      <c r="A6" s="122" t="s">
        <v>281</v>
      </c>
      <c r="B6" s="122"/>
      <c r="C6" s="122"/>
    </row>
    <row r="7" spans="1:3" ht="12.75">
      <c r="A7" s="122" t="s">
        <v>320</v>
      </c>
      <c r="B7" s="122"/>
      <c r="C7" s="122"/>
    </row>
    <row r="8" spans="1:3" ht="12.75">
      <c r="A8" s="122" t="s">
        <v>282</v>
      </c>
      <c r="B8" s="122"/>
      <c r="C8" s="122"/>
    </row>
    <row r="9" spans="1:3" ht="12.75">
      <c r="A9" s="122" t="s">
        <v>297</v>
      </c>
      <c r="B9" s="122"/>
      <c r="C9" s="122"/>
    </row>
    <row r="10" spans="1:3" ht="12.75">
      <c r="A10" s="122" t="s">
        <v>298</v>
      </c>
      <c r="B10" s="122"/>
      <c r="C10" s="122"/>
    </row>
    <row r="11" spans="1:3" ht="12.75">
      <c r="A11" s="122" t="s">
        <v>299</v>
      </c>
      <c r="B11" s="122"/>
      <c r="C11" s="122"/>
    </row>
    <row r="12" spans="1:3" ht="12.75">
      <c r="A12" s="122"/>
      <c r="B12" s="122"/>
      <c r="C12" s="122"/>
    </row>
    <row r="13" spans="1:3" ht="12.75">
      <c r="A13" s="57" t="s">
        <v>300</v>
      </c>
      <c r="B13" s="122"/>
      <c r="C13" s="122"/>
    </row>
    <row r="14" spans="1:3" ht="12.75">
      <c r="A14" s="122"/>
      <c r="B14" s="122"/>
      <c r="C14" s="172"/>
    </row>
    <row r="15" spans="3:14" ht="13.5" thickBot="1">
      <c r="C15" s="161"/>
      <c r="E15" s="57" t="s">
        <v>158</v>
      </c>
      <c r="F15" s="57" t="s">
        <v>287</v>
      </c>
      <c r="J15" s="57" t="s">
        <v>159</v>
      </c>
      <c r="N15" s="57" t="s">
        <v>288</v>
      </c>
    </row>
    <row r="16" spans="1:14" ht="19.5" customHeight="1" thickTop="1">
      <c r="A16" s="122" t="s">
        <v>174</v>
      </c>
      <c r="C16" s="160"/>
      <c r="D16" s="143"/>
      <c r="E16" s="141"/>
      <c r="F16" s="143"/>
      <c r="G16" s="139"/>
      <c r="H16" s="208" t="s">
        <v>283</v>
      </c>
      <c r="I16" s="147"/>
      <c r="J16" s="146"/>
      <c r="K16" s="147"/>
      <c r="L16" s="148"/>
      <c r="M16" s="146"/>
      <c r="N16" s="148"/>
    </row>
    <row r="17" spans="3:14" ht="19.5" customHeight="1">
      <c r="C17" s="161"/>
      <c r="D17" s="156" t="s">
        <v>173</v>
      </c>
      <c r="E17" s="157" t="s">
        <v>156</v>
      </c>
      <c r="F17" s="156" t="s">
        <v>129</v>
      </c>
      <c r="G17" s="129"/>
      <c r="H17" s="209" t="s">
        <v>284</v>
      </c>
      <c r="I17" s="158" t="s">
        <v>157</v>
      </c>
      <c r="J17" s="149"/>
      <c r="K17" s="158" t="s">
        <v>157</v>
      </c>
      <c r="L17" s="151"/>
      <c r="M17" s="158" t="s">
        <v>157</v>
      </c>
      <c r="N17" s="151"/>
    </row>
    <row r="18" spans="1:16" ht="19.5" customHeight="1">
      <c r="A18" s="57" t="s">
        <v>155</v>
      </c>
      <c r="B18" s="122"/>
      <c r="C18" s="205"/>
      <c r="D18" s="156" t="s">
        <v>296</v>
      </c>
      <c r="E18" s="164" t="s">
        <v>291</v>
      </c>
      <c r="F18" s="167" t="s">
        <v>292</v>
      </c>
      <c r="G18" s="145"/>
      <c r="H18" s="209" t="s">
        <v>284</v>
      </c>
      <c r="I18" s="168" t="s">
        <v>293</v>
      </c>
      <c r="J18" s="152"/>
      <c r="K18" s="168" t="s">
        <v>294</v>
      </c>
      <c r="L18" s="153"/>
      <c r="M18" s="169" t="s">
        <v>294</v>
      </c>
      <c r="N18" s="153"/>
      <c r="O18" s="122" t="s">
        <v>164</v>
      </c>
      <c r="P18" s="122"/>
    </row>
    <row r="19" spans="3:16" ht="19.5" customHeight="1">
      <c r="C19" s="161"/>
      <c r="D19" s="211"/>
      <c r="E19" s="173"/>
      <c r="F19" s="144"/>
      <c r="G19" s="142"/>
      <c r="H19" s="209" t="s">
        <v>285</v>
      </c>
      <c r="I19" s="175"/>
      <c r="J19" s="174"/>
      <c r="K19" s="175"/>
      <c r="L19" s="176"/>
      <c r="M19" s="174"/>
      <c r="N19" s="176"/>
      <c r="O19" s="122" t="s">
        <v>165</v>
      </c>
      <c r="P19" s="122"/>
    </row>
    <row r="20" spans="3:14" ht="19.5" customHeight="1">
      <c r="C20" s="161"/>
      <c r="D20" s="156" t="s">
        <v>289</v>
      </c>
      <c r="E20" s="157" t="s">
        <v>156</v>
      </c>
      <c r="F20" s="156" t="s">
        <v>129</v>
      </c>
      <c r="G20" s="129"/>
      <c r="H20" s="209" t="s">
        <v>286</v>
      </c>
      <c r="I20" s="150" t="s">
        <v>157</v>
      </c>
      <c r="J20" s="149"/>
      <c r="K20" s="158" t="s">
        <v>157</v>
      </c>
      <c r="L20" s="151"/>
      <c r="M20" s="158" t="s">
        <v>157</v>
      </c>
      <c r="N20" s="151"/>
    </row>
    <row r="21" spans="3:14" ht="19.5" customHeight="1" thickBot="1">
      <c r="C21" s="204"/>
      <c r="D21" s="166" t="s">
        <v>290</v>
      </c>
      <c r="E21" s="165" t="s">
        <v>291</v>
      </c>
      <c r="F21" s="166" t="s">
        <v>292</v>
      </c>
      <c r="G21" s="140"/>
      <c r="H21" s="210" t="s">
        <v>286</v>
      </c>
      <c r="I21" s="171" t="s">
        <v>294</v>
      </c>
      <c r="J21" s="154"/>
      <c r="K21" s="171" t="s">
        <v>294</v>
      </c>
      <c r="L21" s="155"/>
      <c r="M21" s="170" t="s">
        <v>295</v>
      </c>
      <c r="N21" s="155"/>
    </row>
    <row r="22" spans="3:8" ht="19.5" customHeight="1" thickTop="1">
      <c r="C22" s="161"/>
      <c r="G22" s="122" t="s">
        <v>160</v>
      </c>
      <c r="H22" s="122"/>
    </row>
    <row r="23" spans="3:4" ht="9.75" customHeight="1" thickBot="1">
      <c r="C23" s="161"/>
      <c r="D23" s="122"/>
    </row>
    <row r="24" spans="3:18" ht="19.5" customHeight="1" thickTop="1">
      <c r="C24" s="160"/>
      <c r="D24" s="143"/>
      <c r="E24" s="141"/>
      <c r="F24" s="143"/>
      <c r="G24" s="139"/>
      <c r="H24" s="208" t="s">
        <v>283</v>
      </c>
      <c r="I24" s="147"/>
      <c r="J24" s="146"/>
      <c r="K24" s="147"/>
      <c r="L24" s="148"/>
      <c r="M24" s="146"/>
      <c r="N24" s="148"/>
      <c r="R24" s="159" t="s">
        <v>163</v>
      </c>
    </row>
    <row r="25" spans="3:14" ht="19.5" customHeight="1">
      <c r="C25" s="161"/>
      <c r="D25" s="156" t="s">
        <v>173</v>
      </c>
      <c r="E25" s="157" t="s">
        <v>156</v>
      </c>
      <c r="F25" s="156" t="s">
        <v>129</v>
      </c>
      <c r="G25" s="129"/>
      <c r="H25" s="209" t="s">
        <v>284</v>
      </c>
      <c r="I25" s="158" t="s">
        <v>157</v>
      </c>
      <c r="J25" s="149"/>
      <c r="K25" s="158" t="s">
        <v>157</v>
      </c>
      <c r="L25" s="151"/>
      <c r="M25" s="158" t="s">
        <v>157</v>
      </c>
      <c r="N25" s="151"/>
    </row>
    <row r="26" spans="1:15" ht="19.5" customHeight="1">
      <c r="A26" s="57" t="s">
        <v>161</v>
      </c>
      <c r="B26" s="122"/>
      <c r="C26" s="205"/>
      <c r="D26" s="156" t="s">
        <v>296</v>
      </c>
      <c r="E26" s="164" t="s">
        <v>291</v>
      </c>
      <c r="F26" s="167" t="s">
        <v>292</v>
      </c>
      <c r="G26" s="145"/>
      <c r="H26" s="209" t="s">
        <v>284</v>
      </c>
      <c r="I26" s="168" t="s">
        <v>293</v>
      </c>
      <c r="J26" s="152"/>
      <c r="K26" s="168" t="s">
        <v>294</v>
      </c>
      <c r="L26" s="153"/>
      <c r="M26" s="169" t="s">
        <v>294</v>
      </c>
      <c r="N26" s="153"/>
      <c r="O26" s="122" t="s">
        <v>166</v>
      </c>
    </row>
    <row r="27" spans="3:15" ht="19.5" customHeight="1">
      <c r="C27" s="161"/>
      <c r="D27" s="211"/>
      <c r="E27" s="173"/>
      <c r="F27" s="144"/>
      <c r="G27" s="142"/>
      <c r="H27" s="209" t="s">
        <v>285</v>
      </c>
      <c r="I27" s="175"/>
      <c r="J27" s="174"/>
      <c r="K27" s="175"/>
      <c r="L27" s="176"/>
      <c r="M27" s="174"/>
      <c r="N27" s="176"/>
      <c r="O27" s="122" t="s">
        <v>167</v>
      </c>
    </row>
    <row r="28" spans="3:14" ht="19.5" customHeight="1">
      <c r="C28" s="161"/>
      <c r="D28" s="156" t="s">
        <v>289</v>
      </c>
      <c r="E28" s="157" t="s">
        <v>156</v>
      </c>
      <c r="F28" s="156" t="s">
        <v>129</v>
      </c>
      <c r="G28" s="129"/>
      <c r="H28" s="209" t="s">
        <v>286</v>
      </c>
      <c r="I28" s="150" t="s">
        <v>157</v>
      </c>
      <c r="J28" s="149"/>
      <c r="K28" s="158" t="s">
        <v>157</v>
      </c>
      <c r="L28" s="151"/>
      <c r="M28" s="158" t="s">
        <v>157</v>
      </c>
      <c r="N28" s="151"/>
    </row>
    <row r="29" spans="3:14" ht="19.5" customHeight="1" thickBot="1">
      <c r="C29" s="204"/>
      <c r="D29" s="166" t="s">
        <v>290</v>
      </c>
      <c r="E29" s="165" t="s">
        <v>291</v>
      </c>
      <c r="F29" s="166" t="s">
        <v>292</v>
      </c>
      <c r="G29" s="140"/>
      <c r="H29" s="210" t="s">
        <v>286</v>
      </c>
      <c r="I29" s="171" t="s">
        <v>294</v>
      </c>
      <c r="J29" s="154"/>
      <c r="K29" s="171" t="s">
        <v>294</v>
      </c>
      <c r="L29" s="155"/>
      <c r="M29" s="170" t="s">
        <v>295</v>
      </c>
      <c r="N29" s="155"/>
    </row>
    <row r="30" spans="3:14" ht="19.5" customHeight="1" thickTop="1">
      <c r="C30" s="161"/>
      <c r="D30" s="1"/>
      <c r="E30" s="1"/>
      <c r="F30" s="1"/>
      <c r="G30" s="177" t="s">
        <v>160</v>
      </c>
      <c r="H30" s="177"/>
      <c r="I30" s="1"/>
      <c r="J30" s="1"/>
      <c r="K30" s="1"/>
      <c r="L30" s="1"/>
      <c r="M30" s="1"/>
      <c r="N30" s="1"/>
    </row>
    <row r="31" spans="3:14" ht="11.25" customHeight="1" thickBot="1">
      <c r="C31" s="161"/>
      <c r="D31" s="177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9.5" customHeight="1" thickTop="1">
      <c r="C32" s="160"/>
      <c r="D32" s="143"/>
      <c r="E32" s="141"/>
      <c r="F32" s="143"/>
      <c r="G32" s="139"/>
      <c r="H32" s="208" t="s">
        <v>283</v>
      </c>
      <c r="I32" s="147"/>
      <c r="J32" s="146"/>
      <c r="K32" s="147"/>
      <c r="L32" s="148"/>
      <c r="M32" s="146"/>
      <c r="N32" s="148"/>
    </row>
    <row r="33" spans="3:14" ht="19.5" customHeight="1">
      <c r="C33" s="161"/>
      <c r="D33" s="156" t="s">
        <v>173</v>
      </c>
      <c r="E33" s="157" t="s">
        <v>156</v>
      </c>
      <c r="F33" s="156" t="s">
        <v>129</v>
      </c>
      <c r="G33" s="129"/>
      <c r="H33" s="209" t="s">
        <v>284</v>
      </c>
      <c r="I33" s="158" t="s">
        <v>157</v>
      </c>
      <c r="J33" s="149"/>
      <c r="K33" s="158" t="s">
        <v>157</v>
      </c>
      <c r="L33" s="151"/>
      <c r="M33" s="158" t="s">
        <v>157</v>
      </c>
      <c r="N33" s="151"/>
    </row>
    <row r="34" spans="1:18" ht="19.5" customHeight="1">
      <c r="A34" s="57" t="s">
        <v>162</v>
      </c>
      <c r="B34" s="122"/>
      <c r="C34" s="205"/>
      <c r="D34" s="156" t="s">
        <v>296</v>
      </c>
      <c r="E34" s="164" t="s">
        <v>291</v>
      </c>
      <c r="F34" s="167" t="s">
        <v>292</v>
      </c>
      <c r="G34" s="145"/>
      <c r="H34" s="209" t="s">
        <v>284</v>
      </c>
      <c r="I34" s="168" t="s">
        <v>293</v>
      </c>
      <c r="J34" s="152"/>
      <c r="K34" s="168" t="s">
        <v>294</v>
      </c>
      <c r="L34" s="153"/>
      <c r="M34" s="169" t="s">
        <v>294</v>
      </c>
      <c r="N34" s="153"/>
      <c r="O34" s="122" t="s">
        <v>168</v>
      </c>
      <c r="R34" s="159" t="s">
        <v>163</v>
      </c>
    </row>
    <row r="35" spans="3:15" ht="19.5" customHeight="1">
      <c r="C35" s="161"/>
      <c r="D35" s="211"/>
      <c r="E35" s="173"/>
      <c r="F35" s="144"/>
      <c r="G35" s="142"/>
      <c r="H35" s="209" t="s">
        <v>285</v>
      </c>
      <c r="I35" s="175"/>
      <c r="J35" s="174"/>
      <c r="K35" s="175"/>
      <c r="L35" s="176"/>
      <c r="M35" s="174"/>
      <c r="N35" s="176"/>
      <c r="O35" s="122" t="s">
        <v>169</v>
      </c>
    </row>
    <row r="36" spans="3:14" ht="19.5" customHeight="1">
      <c r="C36" s="161"/>
      <c r="D36" s="156" t="s">
        <v>289</v>
      </c>
      <c r="E36" s="157" t="s">
        <v>156</v>
      </c>
      <c r="F36" s="156" t="s">
        <v>129</v>
      </c>
      <c r="G36" s="129"/>
      <c r="H36" s="209" t="s">
        <v>286</v>
      </c>
      <c r="I36" s="150" t="s">
        <v>157</v>
      </c>
      <c r="J36" s="149"/>
      <c r="K36" s="158" t="s">
        <v>157</v>
      </c>
      <c r="L36" s="151"/>
      <c r="M36" s="158" t="s">
        <v>157</v>
      </c>
      <c r="N36" s="151"/>
    </row>
    <row r="37" spans="3:14" ht="19.5" customHeight="1" thickBot="1">
      <c r="C37" s="204"/>
      <c r="D37" s="166" t="s">
        <v>290</v>
      </c>
      <c r="E37" s="165" t="s">
        <v>291</v>
      </c>
      <c r="F37" s="166" t="s">
        <v>292</v>
      </c>
      <c r="G37" s="140"/>
      <c r="H37" s="210" t="s">
        <v>286</v>
      </c>
      <c r="I37" s="171" t="s">
        <v>294</v>
      </c>
      <c r="J37" s="154"/>
      <c r="K37" s="171" t="s">
        <v>294</v>
      </c>
      <c r="L37" s="155"/>
      <c r="M37" s="170" t="s">
        <v>295</v>
      </c>
      <c r="N37" s="155"/>
    </row>
    <row r="38" spans="7:8" ht="19.5" customHeight="1" thickTop="1">
      <c r="G38" s="122" t="s">
        <v>160</v>
      </c>
      <c r="H38" s="122"/>
    </row>
    <row r="39" spans="7:8" ht="8.25" customHeight="1">
      <c r="G39" s="122"/>
      <c r="H39" s="122"/>
    </row>
    <row r="40" spans="4:14" ht="19.5" customHeight="1"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80"/>
    </row>
    <row r="41" spans="4:15" ht="19.5" customHeight="1">
      <c r="D41" s="181"/>
      <c r="E41" s="162"/>
      <c r="F41" s="162"/>
      <c r="G41" s="162"/>
      <c r="H41" s="162"/>
      <c r="I41" s="163" t="s">
        <v>170</v>
      </c>
      <c r="J41" s="162"/>
      <c r="K41" s="162"/>
      <c r="L41" s="162"/>
      <c r="M41" s="162"/>
      <c r="N41" s="182"/>
      <c r="O41" s="122" t="s">
        <v>171</v>
      </c>
    </row>
    <row r="42" spans="4:15" ht="19.5" customHeight="1">
      <c r="D42" s="181"/>
      <c r="E42" s="162"/>
      <c r="F42" s="162"/>
      <c r="G42" s="162"/>
      <c r="H42" s="162"/>
      <c r="I42" s="162"/>
      <c r="J42" s="162"/>
      <c r="K42" s="162"/>
      <c r="L42" s="162"/>
      <c r="M42" s="162"/>
      <c r="N42" s="182"/>
      <c r="O42" s="122" t="s">
        <v>172</v>
      </c>
    </row>
    <row r="43" spans="4:14" ht="19.5" customHeight="1"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85"/>
    </row>
  </sheetData>
  <sheetProtection/>
  <printOptions/>
  <pageMargins left="0.7" right="0.7" top="0.75" bottom="0.75" header="0.3" footer="0.3"/>
  <pageSetup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="80" zoomScaleNormal="80" zoomScaleSheetLayoutView="70" workbookViewId="0" topLeftCell="A1">
      <selection activeCell="E10" sqref="E10"/>
    </sheetView>
  </sheetViews>
  <sheetFormatPr defaultColWidth="9.140625" defaultRowHeight="12.75"/>
  <cols>
    <col min="1" max="1" width="22.28125" style="0" customWidth="1"/>
    <col min="3" max="3" width="14.00390625" style="0" customWidth="1"/>
    <col min="4" max="5" width="10.421875" style="0" customWidth="1"/>
    <col min="6" max="6" width="11.00390625" style="0" customWidth="1"/>
    <col min="7" max="7" width="9.8515625" style="0" customWidth="1"/>
    <col min="9" max="9" width="11.28125" style="0" customWidth="1"/>
    <col min="10" max="10" width="10.140625" style="0" customWidth="1"/>
    <col min="11" max="11" width="10.421875" style="0" customWidth="1"/>
    <col min="12" max="12" width="11.57421875" style="0" customWidth="1"/>
  </cols>
  <sheetData>
    <row r="1" spans="1:14" ht="18.75">
      <c r="A1" s="219" t="s">
        <v>307</v>
      </c>
      <c r="B1" s="187"/>
      <c r="C1" s="187"/>
      <c r="D1" s="186"/>
      <c r="E1" s="187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.75">
      <c r="A2" s="186" t="s">
        <v>308</v>
      </c>
      <c r="B2" s="187"/>
      <c r="C2" s="187"/>
      <c r="D2" s="186"/>
      <c r="E2" s="187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5.75">
      <c r="A3" s="186"/>
      <c r="B3" s="187"/>
      <c r="C3" s="187"/>
      <c r="D3" s="186"/>
      <c r="E3" s="187"/>
      <c r="F3" s="213"/>
      <c r="G3" s="213"/>
      <c r="H3" s="213"/>
      <c r="I3" s="213"/>
      <c r="J3" s="213"/>
      <c r="K3" s="213"/>
      <c r="L3" s="213"/>
      <c r="M3" s="213"/>
      <c r="N3" s="214"/>
    </row>
    <row r="4" spans="1:14" ht="18.75">
      <c r="A4" s="220" t="s">
        <v>322</v>
      </c>
      <c r="B4" s="189"/>
      <c r="C4" s="189"/>
      <c r="D4" s="221"/>
      <c r="E4" s="202"/>
      <c r="F4" s="280"/>
      <c r="G4" s="280"/>
      <c r="H4" s="280"/>
      <c r="I4" s="280"/>
      <c r="J4" s="280"/>
      <c r="K4" s="213"/>
      <c r="L4" s="213"/>
      <c r="M4" s="213"/>
      <c r="N4" s="214"/>
    </row>
    <row r="5" spans="1:14" ht="18.75">
      <c r="A5" s="278" t="s">
        <v>323</v>
      </c>
      <c r="B5" s="202"/>
      <c r="C5" s="202"/>
      <c r="D5" s="279"/>
      <c r="E5" s="202"/>
      <c r="F5" s="280"/>
      <c r="G5" s="280"/>
      <c r="H5" s="280"/>
      <c r="I5" s="280"/>
      <c r="J5" s="280"/>
      <c r="K5" s="213"/>
      <c r="L5" s="213"/>
      <c r="M5" s="213"/>
      <c r="N5" s="214"/>
    </row>
    <row r="6" spans="1:14" ht="18.75">
      <c r="A6" s="278" t="s">
        <v>324</v>
      </c>
      <c r="B6" s="202"/>
      <c r="C6" s="202"/>
      <c r="D6" s="279"/>
      <c r="E6" s="202"/>
      <c r="F6" s="280"/>
      <c r="G6" s="280"/>
      <c r="H6" s="280"/>
      <c r="I6" s="280"/>
      <c r="J6" s="280"/>
      <c r="K6" s="213"/>
      <c r="L6" s="213"/>
      <c r="M6" s="213"/>
      <c r="N6" s="214"/>
    </row>
    <row r="7" spans="1:14" ht="15.75">
      <c r="A7" s="186"/>
      <c r="B7" s="187"/>
      <c r="C7" s="187"/>
      <c r="D7" s="186"/>
      <c r="E7" s="187"/>
      <c r="F7" s="213"/>
      <c r="G7" s="213"/>
      <c r="H7" s="213"/>
      <c r="I7" s="213"/>
      <c r="J7" s="213"/>
      <c r="K7" s="213"/>
      <c r="L7" s="213"/>
      <c r="M7" s="213"/>
      <c r="N7" s="214"/>
    </row>
    <row r="8" spans="1:14" ht="15.75">
      <c r="A8" s="188" t="s">
        <v>177</v>
      </c>
      <c r="B8" s="187"/>
      <c r="C8" s="187"/>
      <c r="D8" s="186"/>
      <c r="E8" s="187"/>
      <c r="F8" s="213"/>
      <c r="G8" s="213"/>
      <c r="H8" s="213"/>
      <c r="I8" s="213"/>
      <c r="J8" s="213"/>
      <c r="K8" s="213"/>
      <c r="L8" s="213"/>
      <c r="M8" s="213"/>
      <c r="N8" s="214"/>
    </row>
    <row r="9" spans="1:14" ht="15.75">
      <c r="A9" s="188" t="s">
        <v>173</v>
      </c>
      <c r="B9" s="187"/>
      <c r="C9" s="187"/>
      <c r="D9" s="186"/>
      <c r="E9" s="187" t="s">
        <v>178</v>
      </c>
      <c r="F9" s="213"/>
      <c r="G9" s="213"/>
      <c r="H9" s="213"/>
      <c r="I9" s="213"/>
      <c r="J9" s="213"/>
      <c r="K9" s="213"/>
      <c r="L9" s="213"/>
      <c r="M9" s="213"/>
      <c r="N9" s="214"/>
    </row>
    <row r="10" spans="1:14" ht="15.75">
      <c r="A10" s="186" t="s">
        <v>179</v>
      </c>
      <c r="B10" s="187"/>
      <c r="C10" s="187"/>
      <c r="D10" s="186"/>
      <c r="E10" s="190">
        <v>24</v>
      </c>
      <c r="F10" s="213"/>
      <c r="G10" s="213"/>
      <c r="H10" s="213"/>
      <c r="I10" s="213"/>
      <c r="J10" s="213"/>
      <c r="K10" s="213"/>
      <c r="L10" s="213"/>
      <c r="M10" s="213"/>
      <c r="N10" s="214"/>
    </row>
    <row r="11" spans="1:14" ht="15.75">
      <c r="A11" s="186" t="s">
        <v>180</v>
      </c>
      <c r="B11" s="187"/>
      <c r="C11" s="187"/>
      <c r="D11" s="186"/>
      <c r="E11" s="190">
        <v>2</v>
      </c>
      <c r="F11" s="213"/>
      <c r="G11" s="213"/>
      <c r="H11" s="213"/>
      <c r="I11" s="213"/>
      <c r="J11" s="213"/>
      <c r="K11" s="213"/>
      <c r="L11" s="213"/>
      <c r="M11" s="213"/>
      <c r="N11" s="214"/>
    </row>
    <row r="12" spans="1:14" ht="15.75">
      <c r="A12" s="186" t="s">
        <v>181</v>
      </c>
      <c r="B12" s="187"/>
      <c r="C12" s="187"/>
      <c r="D12" s="186"/>
      <c r="E12" s="201">
        <v>2</v>
      </c>
      <c r="F12" s="213"/>
      <c r="G12" s="213"/>
      <c r="H12" s="213"/>
      <c r="I12" s="213"/>
      <c r="J12" s="213"/>
      <c r="K12" s="213"/>
      <c r="L12" s="213"/>
      <c r="M12" s="213"/>
      <c r="N12" s="214"/>
    </row>
    <row r="13" spans="1:14" ht="15.75">
      <c r="A13" s="186" t="s">
        <v>182</v>
      </c>
      <c r="B13" s="187"/>
      <c r="C13" s="187"/>
      <c r="D13" s="186"/>
      <c r="E13" s="201">
        <v>8</v>
      </c>
      <c r="F13" s="213"/>
      <c r="G13" s="213"/>
      <c r="H13" s="213"/>
      <c r="I13" s="213"/>
      <c r="J13" s="213"/>
      <c r="K13" s="213"/>
      <c r="L13" s="213"/>
      <c r="M13" s="213"/>
      <c r="N13" s="214"/>
    </row>
    <row r="14" spans="1:14" ht="15.75">
      <c r="A14" s="186" t="s">
        <v>183</v>
      </c>
      <c r="B14" s="187"/>
      <c r="C14" s="187"/>
      <c r="D14" s="186"/>
      <c r="E14" s="201">
        <v>7</v>
      </c>
      <c r="F14" s="213"/>
      <c r="G14" s="213"/>
      <c r="H14" s="213"/>
      <c r="I14" s="213"/>
      <c r="J14" s="213"/>
      <c r="K14" s="213"/>
      <c r="L14" s="213"/>
      <c r="M14" s="213"/>
      <c r="N14" s="214"/>
    </row>
    <row r="15" spans="1:14" ht="15.75">
      <c r="A15" s="186" t="s">
        <v>184</v>
      </c>
      <c r="B15" s="187"/>
      <c r="C15" s="187"/>
      <c r="D15" s="186"/>
      <c r="E15" s="190">
        <v>42</v>
      </c>
      <c r="F15" s="213"/>
      <c r="G15" s="213"/>
      <c r="H15" s="213"/>
      <c r="I15" s="213"/>
      <c r="J15" s="213"/>
      <c r="K15" s="213"/>
      <c r="L15" s="213"/>
      <c r="M15" s="213"/>
      <c r="N15" s="214"/>
    </row>
    <row r="16" spans="1:14" ht="15.75">
      <c r="A16" s="186" t="s">
        <v>185</v>
      </c>
      <c r="B16" s="187"/>
      <c r="C16" s="187"/>
      <c r="D16" s="186"/>
      <c r="E16" s="190">
        <v>40</v>
      </c>
      <c r="F16" s="213"/>
      <c r="G16" s="213"/>
      <c r="H16" s="213"/>
      <c r="I16" s="213"/>
      <c r="J16" s="213"/>
      <c r="K16" s="213"/>
      <c r="L16" s="213"/>
      <c r="M16" s="213"/>
      <c r="N16" s="214"/>
    </row>
    <row r="17" spans="1:14" ht="15.75">
      <c r="A17" s="186" t="s">
        <v>186</v>
      </c>
      <c r="B17" s="187"/>
      <c r="C17" s="187"/>
      <c r="D17" s="186"/>
      <c r="E17" s="202">
        <f>E10*E12*E14</f>
        <v>336</v>
      </c>
      <c r="F17" s="213"/>
      <c r="G17" s="213"/>
      <c r="H17" s="213"/>
      <c r="I17" s="213"/>
      <c r="J17" s="213"/>
      <c r="K17" s="213"/>
      <c r="L17" s="213"/>
      <c r="M17" s="213"/>
      <c r="N17" s="214"/>
    </row>
    <row r="18" spans="1:14" ht="15.75">
      <c r="A18" s="186" t="s">
        <v>187</v>
      </c>
      <c r="B18" s="187"/>
      <c r="C18" s="187"/>
      <c r="D18" s="186"/>
      <c r="E18" s="190">
        <v>0</v>
      </c>
      <c r="F18" s="213"/>
      <c r="G18" s="213"/>
      <c r="H18" s="213"/>
      <c r="I18" s="213"/>
      <c r="J18" s="213"/>
      <c r="K18" s="213"/>
      <c r="L18" s="213"/>
      <c r="M18" s="213"/>
      <c r="N18" s="214"/>
    </row>
    <row r="19" spans="1:14" ht="15.75">
      <c r="A19" s="186" t="s">
        <v>188</v>
      </c>
      <c r="B19" s="187"/>
      <c r="C19" s="187"/>
      <c r="D19" s="186"/>
      <c r="E19" s="190">
        <v>0</v>
      </c>
      <c r="F19" s="213"/>
      <c r="G19" s="213"/>
      <c r="H19" s="213"/>
      <c r="I19" s="213"/>
      <c r="J19" s="213"/>
      <c r="K19" s="213"/>
      <c r="L19" s="213"/>
      <c r="M19" s="213"/>
      <c r="N19" s="214"/>
    </row>
    <row r="20" spans="1:14" ht="15.75">
      <c r="A20" s="186" t="s">
        <v>189</v>
      </c>
      <c r="B20" s="187"/>
      <c r="C20" s="187"/>
      <c r="D20" s="186"/>
      <c r="E20" s="190">
        <v>0</v>
      </c>
      <c r="F20" s="213"/>
      <c r="G20" s="213"/>
      <c r="H20" s="213"/>
      <c r="I20" s="213"/>
      <c r="J20" s="213"/>
      <c r="K20" s="213"/>
      <c r="L20" s="213"/>
      <c r="M20" s="213"/>
      <c r="N20" s="214"/>
    </row>
    <row r="21" spans="1:14" ht="15.75">
      <c r="A21" s="186" t="s">
        <v>190</v>
      </c>
      <c r="B21" s="187"/>
      <c r="C21" s="187"/>
      <c r="D21" s="186"/>
      <c r="E21" s="190">
        <v>0</v>
      </c>
      <c r="F21" s="213"/>
      <c r="G21" s="213"/>
      <c r="H21" s="213"/>
      <c r="I21" s="213"/>
      <c r="J21" s="213"/>
      <c r="K21" s="213"/>
      <c r="L21" s="213"/>
      <c r="M21" s="213"/>
      <c r="N21" s="214"/>
    </row>
    <row r="22" spans="1:14" ht="15.75">
      <c r="A22" s="186" t="s">
        <v>191</v>
      </c>
      <c r="B22" s="187"/>
      <c r="C22" s="187"/>
      <c r="D22" s="186"/>
      <c r="E22" s="202">
        <f>E17-E19+E21</f>
        <v>336</v>
      </c>
      <c r="F22" s="213"/>
      <c r="G22" s="213"/>
      <c r="H22" s="213"/>
      <c r="I22" s="213"/>
      <c r="J22" s="213"/>
      <c r="K22" s="213"/>
      <c r="L22" s="213"/>
      <c r="M22" s="213"/>
      <c r="N22" s="214"/>
    </row>
    <row r="23" spans="1:14" ht="15.75">
      <c r="A23" s="186" t="s">
        <v>192</v>
      </c>
      <c r="B23" s="187"/>
      <c r="C23" s="187"/>
      <c r="D23" s="186"/>
      <c r="E23" s="190">
        <v>50</v>
      </c>
      <c r="F23" s="213"/>
      <c r="G23" s="213"/>
      <c r="H23" s="213"/>
      <c r="I23" s="213"/>
      <c r="J23" s="213"/>
      <c r="K23" s="213"/>
      <c r="L23" s="213"/>
      <c r="M23" s="213"/>
      <c r="N23" s="214"/>
    </row>
    <row r="24" spans="1:14" ht="15.75">
      <c r="A24" s="186" t="s">
        <v>193</v>
      </c>
      <c r="B24" s="187"/>
      <c r="C24" s="187"/>
      <c r="D24" s="186"/>
      <c r="E24" s="190">
        <v>8</v>
      </c>
      <c r="F24" s="213"/>
      <c r="G24" s="213"/>
      <c r="H24" s="213"/>
      <c r="I24" s="213"/>
      <c r="J24" s="213"/>
      <c r="K24" s="213"/>
      <c r="L24" s="213"/>
      <c r="M24" s="213"/>
      <c r="N24" s="214"/>
    </row>
    <row r="25" spans="1:14" ht="15.75">
      <c r="A25" s="186" t="s">
        <v>194</v>
      </c>
      <c r="B25" s="187"/>
      <c r="C25" s="187"/>
      <c r="D25" s="186"/>
      <c r="E25" s="190">
        <v>0</v>
      </c>
      <c r="F25" s="213"/>
      <c r="G25" s="213"/>
      <c r="H25" s="213"/>
      <c r="I25" s="213"/>
      <c r="J25" s="213"/>
      <c r="K25" s="213"/>
      <c r="L25" s="213"/>
      <c r="M25" s="213"/>
      <c r="N25" s="214"/>
    </row>
    <row r="26" spans="1:14" ht="15.75">
      <c r="A26" s="188" t="s">
        <v>195</v>
      </c>
      <c r="B26" s="187"/>
      <c r="C26" s="187"/>
      <c r="D26" s="186"/>
      <c r="E26" s="187"/>
      <c r="F26" s="213"/>
      <c r="G26" s="213"/>
      <c r="H26" s="213"/>
      <c r="I26" s="213"/>
      <c r="J26" s="213"/>
      <c r="K26" s="213"/>
      <c r="L26" s="213"/>
      <c r="M26" s="213"/>
      <c r="N26" s="214"/>
    </row>
    <row r="27" spans="1:14" ht="15.75">
      <c r="A27" s="186" t="s">
        <v>196</v>
      </c>
      <c r="B27" s="187"/>
      <c r="C27" s="187"/>
      <c r="D27" s="186"/>
      <c r="E27" s="202">
        <f>E22</f>
        <v>336</v>
      </c>
      <c r="F27" s="213"/>
      <c r="G27" s="213"/>
      <c r="H27" s="213"/>
      <c r="I27" s="213"/>
      <c r="J27" s="213"/>
      <c r="K27" s="213"/>
      <c r="L27" s="213"/>
      <c r="M27" s="213"/>
      <c r="N27" s="214"/>
    </row>
    <row r="28" spans="1:14" ht="15.75">
      <c r="A28" s="186" t="s">
        <v>197</v>
      </c>
      <c r="B28" s="187"/>
      <c r="C28" s="187"/>
      <c r="D28" s="186"/>
      <c r="E28" s="190">
        <f>E23</f>
        <v>50</v>
      </c>
      <c r="F28" s="213"/>
      <c r="G28" s="213"/>
      <c r="H28" s="213"/>
      <c r="I28" s="213"/>
      <c r="J28" s="213"/>
      <c r="K28" s="213"/>
      <c r="L28" s="213"/>
      <c r="M28" s="213"/>
      <c r="N28" s="214"/>
    </row>
    <row r="29" spans="1:14" ht="15.75">
      <c r="A29" s="186" t="s">
        <v>198</v>
      </c>
      <c r="B29" s="187"/>
      <c r="C29" s="187"/>
      <c r="D29" s="186"/>
      <c r="E29" s="190">
        <v>0</v>
      </c>
      <c r="F29" s="213"/>
      <c r="G29" s="213"/>
      <c r="H29" s="213"/>
      <c r="I29" s="213"/>
      <c r="J29" s="213"/>
      <c r="K29" s="213"/>
      <c r="L29" s="213"/>
      <c r="M29" s="213"/>
      <c r="N29" s="214"/>
    </row>
    <row r="30" spans="1:14" ht="15.75">
      <c r="A30" s="186" t="s">
        <v>199</v>
      </c>
      <c r="B30" s="187"/>
      <c r="C30" s="187"/>
      <c r="D30" s="186"/>
      <c r="E30" s="190">
        <v>0</v>
      </c>
      <c r="F30" s="213"/>
      <c r="G30" s="213"/>
      <c r="H30" s="213"/>
      <c r="I30" s="213"/>
      <c r="J30" s="213"/>
      <c r="K30" s="213"/>
      <c r="L30" s="213"/>
      <c r="M30" s="213"/>
      <c r="N30" s="214"/>
    </row>
    <row r="31" spans="1:14" ht="15.75">
      <c r="A31" s="186" t="s">
        <v>200</v>
      </c>
      <c r="B31" s="187"/>
      <c r="C31" s="187"/>
      <c r="D31" s="186"/>
      <c r="E31" s="190">
        <v>0</v>
      </c>
      <c r="F31" s="213"/>
      <c r="G31" s="213"/>
      <c r="H31" s="213"/>
      <c r="I31" s="213"/>
      <c r="J31" s="213"/>
      <c r="K31" s="213"/>
      <c r="L31" s="213"/>
      <c r="M31" s="213"/>
      <c r="N31" s="214"/>
    </row>
    <row r="32" spans="1:14" ht="15.75">
      <c r="A32" s="186" t="s">
        <v>198</v>
      </c>
      <c r="B32" s="187"/>
      <c r="C32" s="187"/>
      <c r="D32" s="186"/>
      <c r="E32" s="190">
        <v>0</v>
      </c>
      <c r="F32" s="213"/>
      <c r="G32" s="213"/>
      <c r="H32" s="213"/>
      <c r="I32" s="213"/>
      <c r="J32" s="213"/>
      <c r="K32" s="213"/>
      <c r="L32" s="213"/>
      <c r="M32" s="213"/>
      <c r="N32" s="214"/>
    </row>
    <row r="33" spans="1:14" ht="15.75">
      <c r="A33" s="186" t="s">
        <v>199</v>
      </c>
      <c r="B33" s="187"/>
      <c r="C33" s="187"/>
      <c r="D33" s="186"/>
      <c r="E33" s="190">
        <v>0</v>
      </c>
      <c r="F33" s="213"/>
      <c r="G33" s="213"/>
      <c r="H33" s="213"/>
      <c r="I33" s="213"/>
      <c r="J33" s="213"/>
      <c r="K33" s="213"/>
      <c r="L33" s="213"/>
      <c r="M33" s="213"/>
      <c r="N33" s="214"/>
    </row>
    <row r="34" spans="1:14" ht="15.75">
      <c r="A34" s="186" t="s">
        <v>201</v>
      </c>
      <c r="B34" s="187"/>
      <c r="C34" s="187"/>
      <c r="D34" s="186"/>
      <c r="E34" s="203">
        <v>0.03</v>
      </c>
      <c r="F34" s="213"/>
      <c r="G34" s="213"/>
      <c r="H34" s="213"/>
      <c r="I34" s="213"/>
      <c r="J34" s="213"/>
      <c r="K34" s="213"/>
      <c r="L34" s="213"/>
      <c r="M34" s="213"/>
      <c r="N34" s="214"/>
    </row>
    <row r="35" spans="1:14" ht="15.75">
      <c r="A35" s="186" t="s">
        <v>202</v>
      </c>
      <c r="B35" s="187"/>
      <c r="C35" s="187"/>
      <c r="D35" s="186"/>
      <c r="E35" s="222">
        <f>(E27+E29-E31)*(1-E34)</f>
        <v>325.92</v>
      </c>
      <c r="F35" s="213"/>
      <c r="G35" s="213"/>
      <c r="H35" s="213"/>
      <c r="I35" s="213"/>
      <c r="J35" s="213"/>
      <c r="K35" s="213"/>
      <c r="L35" s="213"/>
      <c r="M35" s="213"/>
      <c r="N35" s="214"/>
    </row>
    <row r="36" spans="1:14" ht="15.75">
      <c r="A36" s="186" t="s">
        <v>203</v>
      </c>
      <c r="B36" s="187"/>
      <c r="C36" s="187"/>
      <c r="D36" s="186"/>
      <c r="E36" s="190">
        <v>250</v>
      </c>
      <c r="F36" s="213"/>
      <c r="G36" s="213"/>
      <c r="H36" s="213"/>
      <c r="I36" s="213"/>
      <c r="J36" s="213"/>
      <c r="K36" s="213"/>
      <c r="L36" s="213"/>
      <c r="M36" s="213"/>
      <c r="N36" s="214"/>
    </row>
    <row r="37" spans="1:14" ht="12.75">
      <c r="A37" s="213"/>
      <c r="B37" s="215"/>
      <c r="C37" s="215"/>
      <c r="D37" s="213"/>
      <c r="E37" s="215"/>
      <c r="F37" s="213"/>
      <c r="G37" s="213"/>
      <c r="H37" s="213"/>
      <c r="I37" s="213"/>
      <c r="J37" s="213"/>
      <c r="K37" s="213"/>
      <c r="L37" s="213"/>
      <c r="M37" s="213"/>
      <c r="N37" s="214"/>
    </row>
    <row r="38" spans="1:14" ht="12.75">
      <c r="A38" s="213"/>
      <c r="B38" s="215"/>
      <c r="C38" s="215"/>
      <c r="D38" s="213"/>
      <c r="E38" s="215"/>
      <c r="F38" s="213"/>
      <c r="G38" s="213"/>
      <c r="H38" s="213"/>
      <c r="I38" s="213"/>
      <c r="J38" s="213"/>
      <c r="K38" s="213"/>
      <c r="L38" s="213"/>
      <c r="M38" s="213"/>
      <c r="N38" s="214"/>
    </row>
    <row r="39" spans="1:14" ht="15.75">
      <c r="A39" s="188" t="s">
        <v>204</v>
      </c>
      <c r="B39" s="215"/>
      <c r="C39" s="215"/>
      <c r="D39" s="213"/>
      <c r="E39" s="215"/>
      <c r="F39" s="213"/>
      <c r="G39" s="213"/>
      <c r="H39" s="213"/>
      <c r="I39" s="213"/>
      <c r="J39" s="213"/>
      <c r="K39" s="213"/>
      <c r="L39" s="213"/>
      <c r="M39" s="213"/>
      <c r="N39" s="214"/>
    </row>
    <row r="40" spans="1:14" ht="15">
      <c r="A40" s="223" t="s">
        <v>205</v>
      </c>
      <c r="B40" s="224" t="s">
        <v>206</v>
      </c>
      <c r="C40" s="224" t="s">
        <v>207</v>
      </c>
      <c r="D40" s="224" t="s">
        <v>208</v>
      </c>
      <c r="E40" s="224" t="s">
        <v>233</v>
      </c>
      <c r="F40" s="224" t="s">
        <v>259</v>
      </c>
      <c r="G40" s="224" t="s">
        <v>209</v>
      </c>
      <c r="H40" s="224" t="s">
        <v>210</v>
      </c>
      <c r="I40" s="224" t="s">
        <v>211</v>
      </c>
      <c r="J40" s="224" t="s">
        <v>212</v>
      </c>
      <c r="K40" s="224" t="s">
        <v>211</v>
      </c>
      <c r="L40" s="224" t="s">
        <v>213</v>
      </c>
      <c r="M40" s="224" t="s">
        <v>214</v>
      </c>
      <c r="N40" s="215"/>
    </row>
    <row r="41" spans="1:14" ht="15">
      <c r="A41" s="223"/>
      <c r="B41" s="224" t="s">
        <v>215</v>
      </c>
      <c r="C41" s="224" t="s">
        <v>216</v>
      </c>
      <c r="D41" s="224" t="s">
        <v>217</v>
      </c>
      <c r="E41" s="224" t="s">
        <v>258</v>
      </c>
      <c r="F41" s="224" t="s">
        <v>260</v>
      </c>
      <c r="G41" s="224" t="s">
        <v>218</v>
      </c>
      <c r="H41" s="224" t="s">
        <v>43</v>
      </c>
      <c r="I41" s="224" t="s">
        <v>219</v>
      </c>
      <c r="J41" s="224" t="s">
        <v>220</v>
      </c>
      <c r="K41" s="224" t="s">
        <v>221</v>
      </c>
      <c r="L41" s="224" t="s">
        <v>222</v>
      </c>
      <c r="M41" s="224" t="s">
        <v>223</v>
      </c>
      <c r="N41" s="215"/>
    </row>
    <row r="42" spans="1:14" ht="15.75">
      <c r="A42" s="188" t="s">
        <v>173</v>
      </c>
      <c r="B42" s="224"/>
      <c r="C42" s="224"/>
      <c r="D42" s="224"/>
      <c r="E42" s="224"/>
      <c r="F42" s="224"/>
      <c r="G42" s="224"/>
      <c r="H42" s="225"/>
      <c r="I42" s="224"/>
      <c r="J42" s="224"/>
      <c r="K42" s="224"/>
      <c r="L42" s="224"/>
      <c r="M42" s="224"/>
      <c r="N42" s="216"/>
    </row>
    <row r="43" spans="1:14" ht="15">
      <c r="A43" s="223" t="s">
        <v>224</v>
      </c>
      <c r="B43" s="226">
        <f>E11</f>
        <v>2</v>
      </c>
      <c r="C43" s="227"/>
      <c r="D43" s="227"/>
      <c r="E43" s="227">
        <v>365</v>
      </c>
      <c r="F43" s="240">
        <v>1</v>
      </c>
      <c r="G43" s="228">
        <v>6</v>
      </c>
      <c r="H43" s="229">
        <v>0.05</v>
      </c>
      <c r="I43" s="230">
        <f aca="true" t="shared" si="0" ref="I43:I48">((E43*F43*G43*B43)/100)/(1-H43)</f>
        <v>46.10526315789473</v>
      </c>
      <c r="J43" s="231">
        <v>18.5</v>
      </c>
      <c r="K43" s="232">
        <f>I43*J43</f>
        <v>852.9473684210526</v>
      </c>
      <c r="L43" s="233">
        <f>K43/($E$10*$E$12)</f>
        <v>17.769736842105264</v>
      </c>
      <c r="M43" s="230">
        <f>(I43/($E$10*$E$12))*100</f>
        <v>96.05263157894736</v>
      </c>
      <c r="N43" s="217"/>
    </row>
    <row r="44" spans="1:14" ht="15">
      <c r="A44" s="223" t="s">
        <v>225</v>
      </c>
      <c r="B44" s="226">
        <f>$E$10</f>
        <v>24</v>
      </c>
      <c r="C44" s="227"/>
      <c r="D44" s="227"/>
      <c r="E44" s="227">
        <v>27</v>
      </c>
      <c r="F44" s="228">
        <v>2</v>
      </c>
      <c r="G44" s="228">
        <v>4</v>
      </c>
      <c r="H44" s="229">
        <v>0.05</v>
      </c>
      <c r="I44" s="230">
        <f t="shared" si="0"/>
        <v>54.568421052631585</v>
      </c>
      <c r="J44" s="231">
        <v>18.5</v>
      </c>
      <c r="K44" s="232">
        <f aca="true" t="shared" si="1" ref="K44:K51">I44*J44</f>
        <v>1009.5157894736843</v>
      </c>
      <c r="L44" s="233">
        <f aca="true" t="shared" si="2" ref="L44:L51">K44/($E$10*$E$12)</f>
        <v>21.031578947368423</v>
      </c>
      <c r="M44" s="230">
        <f aca="true" t="shared" si="3" ref="M44:M51">(I44/($E$10*$E$12))*100</f>
        <v>113.68421052631581</v>
      </c>
      <c r="N44" s="217"/>
    </row>
    <row r="45" spans="1:14" ht="15">
      <c r="A45" s="223" t="s">
        <v>226</v>
      </c>
      <c r="B45" s="226">
        <f>$E$10</f>
        <v>24</v>
      </c>
      <c r="C45" s="227"/>
      <c r="D45" s="227"/>
      <c r="E45" s="227">
        <v>80</v>
      </c>
      <c r="F45" s="228">
        <v>2</v>
      </c>
      <c r="G45" s="228">
        <v>4</v>
      </c>
      <c r="H45" s="229">
        <v>0.05</v>
      </c>
      <c r="I45" s="230">
        <f t="shared" si="0"/>
        <v>161.68421052631578</v>
      </c>
      <c r="J45" s="231">
        <v>18.5</v>
      </c>
      <c r="K45" s="232">
        <f t="shared" si="1"/>
        <v>2991.157894736842</v>
      </c>
      <c r="L45" s="233">
        <f t="shared" si="2"/>
        <v>62.31578947368421</v>
      </c>
      <c r="M45" s="230">
        <f t="shared" si="3"/>
        <v>336.84210526315786</v>
      </c>
      <c r="N45" s="217"/>
    </row>
    <row r="46" spans="1:14" ht="15">
      <c r="A46" s="223" t="s">
        <v>227</v>
      </c>
      <c r="B46" s="226">
        <f>$E$10</f>
        <v>24</v>
      </c>
      <c r="C46" s="227"/>
      <c r="D46" s="227"/>
      <c r="E46" s="227">
        <v>34</v>
      </c>
      <c r="F46" s="228">
        <v>2</v>
      </c>
      <c r="G46" s="228">
        <v>6</v>
      </c>
      <c r="H46" s="229">
        <v>0.05</v>
      </c>
      <c r="I46" s="230">
        <f t="shared" si="0"/>
        <v>103.07368421052632</v>
      </c>
      <c r="J46" s="231">
        <v>18.5</v>
      </c>
      <c r="K46" s="232">
        <f t="shared" si="1"/>
        <v>1906.863157894737</v>
      </c>
      <c r="L46" s="233">
        <f t="shared" si="2"/>
        <v>39.72631578947369</v>
      </c>
      <c r="M46" s="230">
        <f t="shared" si="3"/>
        <v>214.73684210526315</v>
      </c>
      <c r="N46" s="217"/>
    </row>
    <row r="47" spans="1:14" ht="15">
      <c r="A47" s="223" t="s">
        <v>319</v>
      </c>
      <c r="B47" s="226"/>
      <c r="C47" s="226"/>
      <c r="D47" s="226"/>
      <c r="E47" s="226"/>
      <c r="F47" s="236"/>
      <c r="G47" s="236"/>
      <c r="H47" s="273"/>
      <c r="I47" s="230">
        <f>I45+I46</f>
        <v>264.7578947368421</v>
      </c>
      <c r="J47" s="274" t="s">
        <v>31</v>
      </c>
      <c r="K47" s="232">
        <f>K45+K46</f>
        <v>4898.021052631579</v>
      </c>
      <c r="L47" s="233">
        <f t="shared" si="2"/>
        <v>102.0421052631579</v>
      </c>
      <c r="M47" s="230">
        <f t="shared" si="3"/>
        <v>551.578947368421</v>
      </c>
      <c r="N47" s="217"/>
    </row>
    <row r="48" spans="1:14" ht="15">
      <c r="A48" s="223" t="s">
        <v>228</v>
      </c>
      <c r="B48" s="226">
        <f>$E$10</f>
        <v>24</v>
      </c>
      <c r="C48" s="227"/>
      <c r="D48" s="227"/>
      <c r="E48" s="227">
        <v>42</v>
      </c>
      <c r="F48" s="228">
        <v>2</v>
      </c>
      <c r="G48" s="228">
        <v>6</v>
      </c>
      <c r="H48" s="229">
        <v>0.05</v>
      </c>
      <c r="I48" s="230">
        <f t="shared" si="0"/>
        <v>127.32631578947368</v>
      </c>
      <c r="J48" s="231">
        <v>18.5</v>
      </c>
      <c r="K48" s="232">
        <f t="shared" si="1"/>
        <v>2355.536842105263</v>
      </c>
      <c r="L48" s="233">
        <f t="shared" si="2"/>
        <v>49.07368421052632</v>
      </c>
      <c r="M48" s="230">
        <f t="shared" si="3"/>
        <v>265.2631578947368</v>
      </c>
      <c r="N48" s="217"/>
    </row>
    <row r="49" spans="1:14" ht="15">
      <c r="A49" s="234" t="s">
        <v>229</v>
      </c>
      <c r="B49" s="226">
        <f>E17</f>
        <v>336</v>
      </c>
      <c r="C49" s="227"/>
      <c r="D49" s="227">
        <v>40</v>
      </c>
      <c r="E49" s="227">
        <v>42</v>
      </c>
      <c r="F49" s="272" t="s">
        <v>31</v>
      </c>
      <c r="G49" s="240">
        <v>1</v>
      </c>
      <c r="H49" s="229">
        <v>0.05</v>
      </c>
      <c r="I49" s="230">
        <f>((E49*G49*B49)/100)/(1-H49)</f>
        <v>148.54736842105265</v>
      </c>
      <c r="J49" s="231">
        <v>18.5</v>
      </c>
      <c r="K49" s="232">
        <f t="shared" si="1"/>
        <v>2748.126315789474</v>
      </c>
      <c r="L49" s="233">
        <f t="shared" si="2"/>
        <v>57.25263157894738</v>
      </c>
      <c r="M49" s="230">
        <f t="shared" si="3"/>
        <v>309.47368421052636</v>
      </c>
      <c r="N49" s="217"/>
    </row>
    <row r="50" spans="1:14" ht="15">
      <c r="A50" s="223" t="s">
        <v>318</v>
      </c>
      <c r="B50" s="226"/>
      <c r="C50" s="226"/>
      <c r="D50" s="226"/>
      <c r="E50" s="226"/>
      <c r="F50" s="272"/>
      <c r="G50" s="272"/>
      <c r="H50" s="273"/>
      <c r="I50" s="230">
        <f>SUM(I48:I49)</f>
        <v>275.87368421052633</v>
      </c>
      <c r="J50" s="274" t="s">
        <v>31</v>
      </c>
      <c r="K50" s="232">
        <f>SUM(K48:K49)</f>
        <v>5103.663157894737</v>
      </c>
      <c r="L50" s="233">
        <f t="shared" si="2"/>
        <v>106.3263157894737</v>
      </c>
      <c r="M50" s="230">
        <f t="shared" si="3"/>
        <v>574.7368421052631</v>
      </c>
      <c r="N50" s="217"/>
    </row>
    <row r="51" spans="1:14" ht="15">
      <c r="A51" s="223" t="s">
        <v>230</v>
      </c>
      <c r="B51" s="226">
        <f>E17</f>
        <v>336</v>
      </c>
      <c r="C51" s="227">
        <v>40</v>
      </c>
      <c r="D51" s="227">
        <v>50</v>
      </c>
      <c r="E51" s="227">
        <v>20</v>
      </c>
      <c r="F51" s="272" t="s">
        <v>31</v>
      </c>
      <c r="G51" s="240">
        <v>1</v>
      </c>
      <c r="H51" s="229">
        <v>0.05</v>
      </c>
      <c r="I51" s="230">
        <f>((E51*G51*B51)/100)/(1-H51)</f>
        <v>70.73684210526316</v>
      </c>
      <c r="J51" s="231">
        <v>25</v>
      </c>
      <c r="K51" s="232">
        <f t="shared" si="1"/>
        <v>1768.4210526315792</v>
      </c>
      <c r="L51" s="233">
        <f t="shared" si="2"/>
        <v>36.8421052631579</v>
      </c>
      <c r="M51" s="230">
        <f t="shared" si="3"/>
        <v>147.3684210526316</v>
      </c>
      <c r="N51" s="217"/>
    </row>
    <row r="52" spans="1:14" ht="15">
      <c r="A52" s="235" t="s">
        <v>46</v>
      </c>
      <c r="B52" s="226"/>
      <c r="C52" s="226"/>
      <c r="D52" s="226"/>
      <c r="E52" s="226"/>
      <c r="F52" s="226"/>
      <c r="G52" s="236"/>
      <c r="H52" s="236"/>
      <c r="I52" s="230">
        <f>SUM(I43:I51)-I47-I50</f>
        <v>712.0421052631579</v>
      </c>
      <c r="J52" s="233"/>
      <c r="K52" s="232">
        <f>SUM(K43:K51)-K47-K50</f>
        <v>13632.568421052634</v>
      </c>
      <c r="L52" s="233">
        <f>SUM(L43:L51)-L47-L50</f>
        <v>284.0118421052632</v>
      </c>
      <c r="M52" s="230">
        <f>SUM(M43:M51)-M47-M50</f>
        <v>1483.4210526315794</v>
      </c>
      <c r="N52" s="218"/>
    </row>
    <row r="53" spans="1:14" ht="15">
      <c r="A53" s="223"/>
      <c r="B53" s="224"/>
      <c r="C53" s="224"/>
      <c r="D53" s="224"/>
      <c r="E53" s="224"/>
      <c r="F53" s="224"/>
      <c r="G53" s="224"/>
      <c r="H53" s="224"/>
      <c r="I53" s="224"/>
      <c r="J53" s="237"/>
      <c r="K53" s="237"/>
      <c r="L53" s="224"/>
      <c r="M53" s="223"/>
      <c r="N53" s="214"/>
    </row>
    <row r="54" spans="1:14" ht="15.75">
      <c r="A54" s="188" t="s">
        <v>195</v>
      </c>
      <c r="B54" s="224" t="s">
        <v>206</v>
      </c>
      <c r="C54" s="224" t="s">
        <v>231</v>
      </c>
      <c r="D54" s="224" t="s">
        <v>208</v>
      </c>
      <c r="E54" s="224" t="s">
        <v>232</v>
      </c>
      <c r="F54" s="224" t="s">
        <v>233</v>
      </c>
      <c r="G54" s="224" t="s">
        <v>209</v>
      </c>
      <c r="H54" s="224" t="s">
        <v>210</v>
      </c>
      <c r="I54" s="226" t="s">
        <v>211</v>
      </c>
      <c r="J54" s="233" t="s">
        <v>212</v>
      </c>
      <c r="K54" s="226" t="s">
        <v>211</v>
      </c>
      <c r="L54" s="233" t="s">
        <v>234</v>
      </c>
      <c r="M54" s="224" t="s">
        <v>270</v>
      </c>
      <c r="N54" s="214"/>
    </row>
    <row r="55" spans="1:14" ht="15">
      <c r="A55" s="223"/>
      <c r="B55" s="224" t="s">
        <v>215</v>
      </c>
      <c r="C55" s="224" t="s">
        <v>235</v>
      </c>
      <c r="D55" s="224" t="s">
        <v>217</v>
      </c>
      <c r="E55" s="224" t="s">
        <v>217</v>
      </c>
      <c r="F55" s="224" t="s">
        <v>209</v>
      </c>
      <c r="G55" s="224" t="s">
        <v>218</v>
      </c>
      <c r="H55" s="224" t="s">
        <v>43</v>
      </c>
      <c r="I55" s="226" t="s">
        <v>219</v>
      </c>
      <c r="J55" s="226" t="s">
        <v>220</v>
      </c>
      <c r="K55" s="226" t="s">
        <v>221</v>
      </c>
      <c r="L55" s="233" t="s">
        <v>236</v>
      </c>
      <c r="M55" s="224" t="s">
        <v>271</v>
      </c>
      <c r="N55" s="214"/>
    </row>
    <row r="56" spans="1:14" ht="15">
      <c r="A56" s="223" t="s">
        <v>237</v>
      </c>
      <c r="B56" s="226">
        <f>E35</f>
        <v>325.92</v>
      </c>
      <c r="C56" s="227">
        <v>50</v>
      </c>
      <c r="D56" s="227">
        <v>150</v>
      </c>
      <c r="E56" s="224">
        <f>(C56+D56)/2</f>
        <v>100</v>
      </c>
      <c r="F56" s="227">
        <v>60</v>
      </c>
      <c r="G56" s="227">
        <v>5</v>
      </c>
      <c r="H56" s="229">
        <v>0.05</v>
      </c>
      <c r="I56" s="230">
        <f>((F56*G56*B56)/100)/(1-H56)</f>
        <v>1029.221052631579</v>
      </c>
      <c r="J56" s="231">
        <v>18.5</v>
      </c>
      <c r="K56" s="232">
        <f>I56*J56</f>
        <v>19040.58947368421</v>
      </c>
      <c r="L56" s="233">
        <f>IF(B56=0,0,K56/B56)</f>
        <v>58.42105263157894</v>
      </c>
      <c r="M56" s="238">
        <f>IF(B56=0,0,(I56/B56)*100)</f>
        <v>315.78947368421046</v>
      </c>
      <c r="N56" s="214"/>
    </row>
    <row r="57" spans="1:14" ht="15">
      <c r="A57" s="223" t="s">
        <v>238</v>
      </c>
      <c r="B57" s="226">
        <v>0</v>
      </c>
      <c r="C57" s="227">
        <v>0</v>
      </c>
      <c r="D57" s="227">
        <v>0</v>
      </c>
      <c r="E57" s="224">
        <f>(C57+D57)/2</f>
        <v>0</v>
      </c>
      <c r="F57" s="227">
        <v>60</v>
      </c>
      <c r="G57" s="227">
        <v>5</v>
      </c>
      <c r="H57" s="229">
        <v>0.05</v>
      </c>
      <c r="I57" s="230">
        <f>((F57*G57*B57)/100)/(1-H57)</f>
        <v>0</v>
      </c>
      <c r="J57" s="231">
        <v>18.5</v>
      </c>
      <c r="K57" s="232">
        <f>I57*J57</f>
        <v>0</v>
      </c>
      <c r="L57" s="233">
        <f>IF(B57=0,0,K57/B57)</f>
        <v>0</v>
      </c>
      <c r="M57" s="238">
        <f>IF(B57=0,0,(I57/B57)*100)</f>
        <v>0</v>
      </c>
      <c r="N57" s="214"/>
    </row>
    <row r="58" spans="1:14" ht="15">
      <c r="A58" s="223" t="s">
        <v>272</v>
      </c>
      <c r="B58" s="226">
        <f>E35</f>
        <v>325.92</v>
      </c>
      <c r="C58" s="227">
        <v>150</v>
      </c>
      <c r="D58" s="227">
        <v>250</v>
      </c>
      <c r="E58" s="224">
        <f>(C58+D58)/2</f>
        <v>200</v>
      </c>
      <c r="F58" s="227">
        <v>60</v>
      </c>
      <c r="G58" s="227">
        <v>7</v>
      </c>
      <c r="H58" s="229">
        <v>0.05</v>
      </c>
      <c r="I58" s="230">
        <f>((F58*G58*B58)/100)/(1-H58)</f>
        <v>1440.9094736842105</v>
      </c>
      <c r="J58" s="231">
        <v>18.5</v>
      </c>
      <c r="K58" s="232">
        <f>I58*J58</f>
        <v>26656.825263157894</v>
      </c>
      <c r="L58" s="233">
        <f>IF(B58=0,0,K58/B58)</f>
        <v>81.78947368421052</v>
      </c>
      <c r="M58" s="238">
        <f>IF(B58=0,0,(I58/B58)*100)</f>
        <v>442.1052631578947</v>
      </c>
      <c r="N58" s="214"/>
    </row>
    <row r="59" spans="1:14" ht="15">
      <c r="A59" s="223" t="s">
        <v>239</v>
      </c>
      <c r="B59" s="226">
        <v>0</v>
      </c>
      <c r="C59" s="227">
        <v>50</v>
      </c>
      <c r="D59" s="227">
        <v>250</v>
      </c>
      <c r="E59" s="224">
        <f>(C59+D59)/2</f>
        <v>150</v>
      </c>
      <c r="F59" s="227">
        <v>120</v>
      </c>
      <c r="G59" s="227">
        <v>6</v>
      </c>
      <c r="H59" s="229">
        <v>0.05</v>
      </c>
      <c r="I59" s="230">
        <f>((F59*G59*B59)/100)/(1-H59)</f>
        <v>0</v>
      </c>
      <c r="J59" s="231">
        <v>18.5</v>
      </c>
      <c r="K59" s="232">
        <f>I59*J59</f>
        <v>0</v>
      </c>
      <c r="L59" s="233">
        <f>IF(B59=0,0,K59/B59)</f>
        <v>0</v>
      </c>
      <c r="M59" s="238">
        <f>IF(B59=0,0,(I59/B59)*100)</f>
        <v>0</v>
      </c>
      <c r="N59" s="214"/>
    </row>
    <row r="60" spans="1:14" ht="15">
      <c r="A60" s="223" t="s">
        <v>240</v>
      </c>
      <c r="B60" s="226">
        <v>0</v>
      </c>
      <c r="C60" s="227">
        <v>250</v>
      </c>
      <c r="D60" s="227">
        <v>300</v>
      </c>
      <c r="E60" s="224">
        <f>(C60+D60)/2</f>
        <v>275</v>
      </c>
      <c r="F60" s="227">
        <v>50</v>
      </c>
      <c r="G60" s="227">
        <v>6</v>
      </c>
      <c r="H60" s="229">
        <v>0.05</v>
      </c>
      <c r="I60" s="230">
        <f>((F60*G60*B60)/100)/(1-H60)</f>
        <v>0</v>
      </c>
      <c r="J60" s="231">
        <v>18.5</v>
      </c>
      <c r="K60" s="232">
        <f>I60*J60</f>
        <v>0</v>
      </c>
      <c r="L60" s="233">
        <f>IF(B60=0,0,K60/B60)</f>
        <v>0</v>
      </c>
      <c r="M60" s="238">
        <f>IF(B60=0,0,(I60/B60)*100)</f>
        <v>0</v>
      </c>
      <c r="N60" s="214"/>
    </row>
    <row r="61" spans="1:14" ht="15">
      <c r="A61" s="223" t="s">
        <v>46</v>
      </c>
      <c r="B61" s="226"/>
      <c r="C61" s="224"/>
      <c r="D61" s="224"/>
      <c r="E61" s="224"/>
      <c r="F61" s="224"/>
      <c r="G61" s="224"/>
      <c r="H61" s="239"/>
      <c r="I61" s="230">
        <f>SUM(I56:I60)</f>
        <v>2470.130526315789</v>
      </c>
      <c r="J61" s="233"/>
      <c r="K61" s="232">
        <f>SUM(K56:K60)</f>
        <v>45697.4147368421</v>
      </c>
      <c r="L61" s="233"/>
      <c r="M61" s="223"/>
      <c r="N61" s="214"/>
    </row>
    <row r="62" spans="1:14" ht="15">
      <c r="A62" s="223"/>
      <c r="B62" s="224"/>
      <c r="C62" s="224"/>
      <c r="D62" s="224"/>
      <c r="E62" s="224"/>
      <c r="F62" s="224"/>
      <c r="G62" s="224"/>
      <c r="H62" s="237"/>
      <c r="I62" s="237"/>
      <c r="J62" s="224"/>
      <c r="K62" s="223"/>
      <c r="L62" s="223"/>
      <c r="M62" s="223"/>
      <c r="N62" s="214"/>
    </row>
    <row r="63" spans="1:14" ht="15.75">
      <c r="A63" s="188" t="s">
        <v>241</v>
      </c>
      <c r="B63" s="224"/>
      <c r="C63" s="224"/>
      <c r="D63" s="223"/>
      <c r="E63" s="226" t="s">
        <v>242</v>
      </c>
      <c r="F63" s="226"/>
      <c r="G63" s="233" t="s">
        <v>16</v>
      </c>
      <c r="H63" s="223"/>
      <c r="I63" s="223"/>
      <c r="J63" s="237"/>
      <c r="K63" s="237"/>
      <c r="L63" s="224"/>
      <c r="M63" s="223"/>
      <c r="N63" s="214"/>
    </row>
    <row r="64" spans="1:14" ht="15">
      <c r="A64" s="235" t="s">
        <v>273</v>
      </c>
      <c r="B64" s="226"/>
      <c r="C64" s="226"/>
      <c r="D64" s="223"/>
      <c r="E64" s="238">
        <f>M52</f>
        <v>1483.4210526315794</v>
      </c>
      <c r="F64" s="226"/>
      <c r="G64" s="233">
        <f>L52</f>
        <v>284.0118421052632</v>
      </c>
      <c r="H64" s="223"/>
      <c r="I64" s="223"/>
      <c r="J64" s="223"/>
      <c r="K64" s="223"/>
      <c r="L64" s="223"/>
      <c r="M64" s="223"/>
      <c r="N64" s="214"/>
    </row>
    <row r="65" spans="1:14" ht="15">
      <c r="A65" s="235" t="s">
        <v>274</v>
      </c>
      <c r="B65" s="226"/>
      <c r="C65" s="226"/>
      <c r="D65" s="223"/>
      <c r="E65" s="238">
        <f>M52/E14</f>
        <v>211.91729323308277</v>
      </c>
      <c r="F65" s="226"/>
      <c r="G65" s="233">
        <f>L52/E14</f>
        <v>40.57312030075189</v>
      </c>
      <c r="H65" s="223"/>
      <c r="I65" s="223"/>
      <c r="J65" s="223"/>
      <c r="K65" s="223"/>
      <c r="L65" s="223"/>
      <c r="M65" s="223"/>
      <c r="N65" s="214"/>
    </row>
    <row r="66" spans="1:14" ht="15">
      <c r="A66" s="235" t="s">
        <v>275</v>
      </c>
      <c r="B66" s="226"/>
      <c r="C66" s="226"/>
      <c r="D66" s="223"/>
      <c r="E66" s="238">
        <f>M56</f>
        <v>315.78947368421046</v>
      </c>
      <c r="F66" s="226"/>
      <c r="G66" s="233">
        <f>L56</f>
        <v>58.42105263157894</v>
      </c>
      <c r="H66" s="223"/>
      <c r="I66" s="223"/>
      <c r="J66" s="223"/>
      <c r="K66" s="223"/>
      <c r="L66" s="223"/>
      <c r="M66" s="223"/>
      <c r="N66" s="214"/>
    </row>
    <row r="67" spans="1:14" ht="15">
      <c r="A67" s="235" t="s">
        <v>276</v>
      </c>
      <c r="B67" s="226"/>
      <c r="C67" s="226"/>
      <c r="D67" s="223"/>
      <c r="E67" s="238">
        <f>M57</f>
        <v>0</v>
      </c>
      <c r="F67" s="226"/>
      <c r="G67" s="233">
        <f>L57</f>
        <v>0</v>
      </c>
      <c r="H67" s="223"/>
      <c r="I67" s="223"/>
      <c r="J67" s="223"/>
      <c r="K67" s="223"/>
      <c r="L67" s="223"/>
      <c r="M67" s="223"/>
      <c r="N67" s="214"/>
    </row>
    <row r="68" spans="1:14" ht="15">
      <c r="A68" s="235" t="s">
        <v>279</v>
      </c>
      <c r="B68" s="226"/>
      <c r="C68" s="226"/>
      <c r="D68" s="223"/>
      <c r="E68" s="238">
        <f>M58</f>
        <v>442.1052631578947</v>
      </c>
      <c r="F68" s="226"/>
      <c r="G68" s="233">
        <f>L58</f>
        <v>81.78947368421052</v>
      </c>
      <c r="H68" s="223"/>
      <c r="I68" s="223"/>
      <c r="J68" s="223"/>
      <c r="K68" s="223"/>
      <c r="L68" s="223"/>
      <c r="M68" s="223"/>
      <c r="N68" s="214"/>
    </row>
    <row r="69" spans="1:14" ht="15">
      <c r="A69" s="235" t="s">
        <v>277</v>
      </c>
      <c r="B69" s="226"/>
      <c r="C69" s="226"/>
      <c r="D69" s="223"/>
      <c r="E69" s="238">
        <f>IF(B57=0,0,M57+M58)</f>
        <v>0</v>
      </c>
      <c r="F69" s="226"/>
      <c r="G69" s="238">
        <f>IF(B57=0,0,L57+L58)</f>
        <v>0</v>
      </c>
      <c r="H69" s="223"/>
      <c r="I69" s="223"/>
      <c r="J69" s="223"/>
      <c r="K69" s="223"/>
      <c r="L69" s="223"/>
      <c r="M69" s="223"/>
      <c r="N69" s="214"/>
    </row>
    <row r="70" spans="1:14" ht="15">
      <c r="A70" s="235" t="s">
        <v>278</v>
      </c>
      <c r="B70" s="226"/>
      <c r="C70" s="226"/>
      <c r="D70" s="223"/>
      <c r="E70" s="239">
        <f>M56+M58</f>
        <v>757.8947368421052</v>
      </c>
      <c r="F70" s="223"/>
      <c r="G70" s="239">
        <f>L56+L58</f>
        <v>140.21052631578945</v>
      </c>
      <c r="H70" s="223"/>
      <c r="I70" s="223"/>
      <c r="J70" s="223"/>
      <c r="K70" s="223"/>
      <c r="L70" s="223"/>
      <c r="M70" s="223"/>
      <c r="N70" s="214"/>
    </row>
    <row r="71" spans="1:14" ht="15">
      <c r="A71" s="235" t="s">
        <v>280</v>
      </c>
      <c r="B71" s="226"/>
      <c r="C71" s="226"/>
      <c r="D71" s="223"/>
      <c r="E71" s="239">
        <f>M59</f>
        <v>0</v>
      </c>
      <c r="F71" s="223"/>
      <c r="G71" s="237">
        <f>L59</f>
        <v>0</v>
      </c>
      <c r="H71" s="223"/>
      <c r="I71" s="223"/>
      <c r="J71" s="223"/>
      <c r="K71" s="223"/>
      <c r="L71" s="223"/>
      <c r="M71" s="223"/>
      <c r="N71" s="214"/>
    </row>
    <row r="72" spans="1:14" ht="15">
      <c r="A72" s="235" t="s">
        <v>243</v>
      </c>
      <c r="B72" s="226"/>
      <c r="C72" s="226"/>
      <c r="D72" s="223"/>
      <c r="E72" s="238">
        <f>IF(E71=0,E65+E70,E65+E71)</f>
        <v>969.812030075188</v>
      </c>
      <c r="F72" s="226"/>
      <c r="G72" s="233">
        <f>IF(G71=0,G65+G70,G65+G71)</f>
        <v>180.78364661654135</v>
      </c>
      <c r="H72" s="223"/>
      <c r="I72" s="223"/>
      <c r="J72" s="223"/>
      <c r="K72" s="223"/>
      <c r="L72" s="223"/>
      <c r="M72" s="223"/>
      <c r="N72" s="214"/>
    </row>
    <row r="73" spans="1:14" ht="15">
      <c r="A73" s="235" t="s">
        <v>244</v>
      </c>
      <c r="B73" s="226"/>
      <c r="C73" s="226"/>
      <c r="D73" s="223"/>
      <c r="E73" s="238">
        <f>M60</f>
        <v>0</v>
      </c>
      <c r="F73" s="226"/>
      <c r="G73" s="233">
        <f>L60</f>
        <v>0</v>
      </c>
      <c r="H73" s="223"/>
      <c r="I73" s="223"/>
      <c r="J73" s="223"/>
      <c r="K73" s="223"/>
      <c r="L73" s="223"/>
      <c r="M73" s="223"/>
      <c r="N73" s="214"/>
    </row>
    <row r="74" spans="1:14" ht="15">
      <c r="A74" s="223"/>
      <c r="B74" s="224"/>
      <c r="C74" s="224"/>
      <c r="D74" s="223"/>
      <c r="E74" s="223"/>
      <c r="F74" s="224"/>
      <c r="G74" s="223"/>
      <c r="H74" s="223"/>
      <c r="I74" s="223"/>
      <c r="J74" s="223"/>
      <c r="K74" s="223"/>
      <c r="L74" s="223"/>
      <c r="M74" s="223"/>
      <c r="N74" s="214"/>
    </row>
    <row r="75" spans="1:14" ht="12.75">
      <c r="A75" s="213"/>
      <c r="B75" s="215"/>
      <c r="C75" s="215"/>
      <c r="D75" s="213"/>
      <c r="E75" s="215"/>
      <c r="F75" s="213"/>
      <c r="G75" s="213"/>
      <c r="H75" s="213"/>
      <c r="I75" s="213"/>
      <c r="J75" s="213"/>
      <c r="K75" s="213"/>
      <c r="L75" s="213"/>
      <c r="M75" s="213"/>
      <c r="N75" s="214"/>
    </row>
  </sheetData>
  <sheetProtection sheet="1" selectLockedCells="1"/>
  <printOptions/>
  <pageMargins left="0.7" right="0.7" top="0.75" bottom="0.75" header="0.3" footer="0.3"/>
  <pageSetup orientation="landscape" scale="82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21-5</dc:title>
  <dc:subject>Beef Cows</dc:subject>
  <dc:creator>Geoff Benson</dc:creator>
  <cp:keywords/>
  <dc:description/>
  <cp:lastModifiedBy>gabenson</cp:lastModifiedBy>
  <cp:lastPrinted>2011-09-06T18:20:29Z</cp:lastPrinted>
  <dcterms:created xsi:type="dcterms:W3CDTF">1997-12-16T16:17:17Z</dcterms:created>
  <dcterms:modified xsi:type="dcterms:W3CDTF">2011-09-07T20:00:45Z</dcterms:modified>
  <cp:category/>
  <cp:version/>
  <cp:contentType/>
  <cp:contentStatus/>
</cp:coreProperties>
</file>