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55" yWindow="90" windowWidth="14205" windowHeight="7680" activeTab="0"/>
  </bookViews>
  <sheets>
    <sheet name="WinterAnnualBudget88-9" sheetId="1" r:id="rId1"/>
    <sheet name="WinterAnnualFixedCosts88-9" sheetId="2" r:id="rId2"/>
  </sheets>
  <definedNames>
    <definedName name="_xlnm.Print_Area" localSheetId="0">'WinterAnnualBudget88-9'!$A$1:$F$48</definedName>
  </definedNames>
  <calcPr fullCalcOnLoad="1"/>
</workbook>
</file>

<file path=xl/sharedStrings.xml><?xml version="1.0" encoding="utf-8"?>
<sst xmlns="http://schemas.openxmlformats.org/spreadsheetml/2006/main" count="187" uniqueCount="135">
  <si>
    <t>Description</t>
  </si>
  <si>
    <t>Unit</t>
  </si>
  <si>
    <t>Price</t>
  </si>
  <si>
    <t>Quantity</t>
  </si>
  <si>
    <t>Value</t>
  </si>
  <si>
    <t xml:space="preserve">   Operating inputs</t>
  </si>
  <si>
    <t>Ton</t>
  </si>
  <si>
    <t>Acre</t>
  </si>
  <si>
    <t xml:space="preserve">      -Fert. Spread, custom</t>
  </si>
  <si>
    <t xml:space="preserve">      -30% N Solution</t>
  </si>
  <si>
    <t>Cwt.</t>
  </si>
  <si>
    <t xml:space="preserve">      -Other:</t>
  </si>
  <si>
    <t>Hours</t>
  </si>
  <si>
    <t>Total Operating Costs</t>
  </si>
  <si>
    <t>Amount</t>
  </si>
  <si>
    <r>
      <t xml:space="preserve">   </t>
    </r>
    <r>
      <rPr>
        <b/>
        <sz val="10"/>
        <rFont val="Arial"/>
        <family val="2"/>
      </rPr>
      <t>Fixed Costs</t>
    </r>
  </si>
  <si>
    <t>Total Cost</t>
  </si>
  <si>
    <r>
      <t xml:space="preserve">      </t>
    </r>
    <r>
      <rPr>
        <b/>
        <sz val="10"/>
        <rFont val="Arial"/>
        <family val="2"/>
      </rPr>
      <t>Production</t>
    </r>
  </si>
  <si>
    <t xml:space="preserve">         -Harvested as Pasture, Dry Matter</t>
  </si>
  <si>
    <t>Total Receipts</t>
  </si>
  <si>
    <t>RETURNS ABOVE TOTAL OPERATING COST</t>
  </si>
  <si>
    <t>Budget prepared by:</t>
  </si>
  <si>
    <t>NOTES</t>
  </si>
  <si>
    <t xml:space="preserve">      -Other Labor</t>
  </si>
  <si>
    <t>$</t>
  </si>
  <si>
    <t xml:space="preserve">Table 1.  Initial investment in specialized equipment and annual ownership expenses </t>
  </si>
  <si>
    <t>Operation and Item</t>
  </si>
  <si>
    <t>Life</t>
  </si>
  <si>
    <t>Initial</t>
  </si>
  <si>
    <t xml:space="preserve">Salvage </t>
  </si>
  <si>
    <t>Deprec-</t>
  </si>
  <si>
    <r>
      <t>Interest</t>
    </r>
    <r>
      <rPr>
        <b/>
        <vertAlign val="superscript"/>
        <sz val="11"/>
        <rFont val="Arial"/>
        <family val="2"/>
      </rPr>
      <t>b</t>
    </r>
  </si>
  <si>
    <t>Tax &amp;</t>
  </si>
  <si>
    <t>Annual</t>
  </si>
  <si>
    <t>D.I.T.I.</t>
  </si>
  <si>
    <t>Acres</t>
  </si>
  <si>
    <t>Expense</t>
  </si>
  <si>
    <t>Times</t>
  </si>
  <si>
    <t>Total</t>
  </si>
  <si>
    <t>Cost</t>
  </si>
  <si>
    <r>
      <t>iation</t>
    </r>
    <r>
      <rPr>
        <b/>
        <vertAlign val="superscript"/>
        <sz val="11"/>
        <rFont val="Arial"/>
        <family val="2"/>
      </rPr>
      <t>a</t>
    </r>
  </si>
  <si>
    <r>
      <t>Ins.</t>
    </r>
    <r>
      <rPr>
        <b/>
        <vertAlign val="superscript"/>
        <sz val="11"/>
        <rFont val="Arial"/>
        <family val="2"/>
      </rPr>
      <t>c</t>
    </r>
  </si>
  <si>
    <t>Use</t>
  </si>
  <si>
    <t>per Hour</t>
  </si>
  <si>
    <r>
      <t>per Acre</t>
    </r>
    <r>
      <rPr>
        <b/>
        <vertAlign val="superscript"/>
        <sz val="11"/>
        <rFont val="Arial"/>
        <family val="2"/>
      </rPr>
      <t>d</t>
    </r>
  </si>
  <si>
    <r>
      <t>Over</t>
    </r>
    <r>
      <rPr>
        <b/>
        <vertAlign val="superscript"/>
        <sz val="11"/>
        <rFont val="Arial"/>
        <family val="2"/>
      </rPr>
      <t>e</t>
    </r>
  </si>
  <si>
    <t>Years</t>
  </si>
  <si>
    <t>No.</t>
  </si>
  <si>
    <t>$/Acre</t>
  </si>
  <si>
    <t xml:space="preserve">  Tractor</t>
  </si>
  <si>
    <t>TOTALS</t>
  </si>
  <si>
    <r>
      <t>a</t>
    </r>
    <r>
      <rPr>
        <sz val="11"/>
        <rFont val="Arial"/>
        <family val="2"/>
      </rPr>
      <t xml:space="preserve"> Depreciation = (Initial cost - Salvage value) / years of life</t>
    </r>
  </si>
  <si>
    <r>
      <t xml:space="preserve">b </t>
    </r>
    <r>
      <rPr>
        <sz val="11"/>
        <rFont val="Arial"/>
        <family val="2"/>
      </rPr>
      <t>Interest on investment = ((Initial cost + Salvage value) / 2) X interest rate</t>
    </r>
  </si>
  <si>
    <r>
      <t xml:space="preserve">c </t>
    </r>
    <r>
      <rPr>
        <sz val="11"/>
        <rFont val="Arial"/>
        <family val="2"/>
      </rPr>
      <t xml:space="preserve">Combined rate of property taxes and insurance premiums as a percentage of the average investment </t>
    </r>
  </si>
  <si>
    <r>
      <t xml:space="preserve">d </t>
    </r>
    <r>
      <rPr>
        <sz val="11"/>
        <rFont val="Arial"/>
        <family val="2"/>
      </rPr>
      <t>Per acre costs for self-propelled vehicles include an additional 10% allowance for travel time from farm to field</t>
    </r>
  </si>
  <si>
    <r>
      <t xml:space="preserve">e </t>
    </r>
    <r>
      <rPr>
        <sz val="11"/>
        <rFont val="Arial"/>
        <family val="2"/>
      </rPr>
      <t>Total number of trips across the field per year for this operation</t>
    </r>
  </si>
  <si>
    <t xml:space="preserve">Table 2. Operating expense for forage machinery and equipment per hour and per acre </t>
  </si>
  <si>
    <t>Repairs</t>
  </si>
  <si>
    <t>Fuel</t>
  </si>
  <si>
    <t xml:space="preserve">Equip. </t>
  </si>
  <si>
    <t>Labor</t>
  </si>
  <si>
    <r>
      <t>&amp; Maint.</t>
    </r>
    <r>
      <rPr>
        <b/>
        <vertAlign val="superscript"/>
        <sz val="11"/>
        <rFont val="Arial"/>
        <family val="2"/>
      </rPr>
      <t>a</t>
    </r>
  </si>
  <si>
    <t>&amp; Maint.</t>
  </si>
  <si>
    <r>
      <t>&amp; Maint.</t>
    </r>
    <r>
      <rPr>
        <b/>
        <vertAlign val="superscript"/>
        <sz val="11"/>
        <rFont val="Arial"/>
        <family val="2"/>
      </rPr>
      <t>b</t>
    </r>
  </si>
  <si>
    <t>per Gal</t>
  </si>
  <si>
    <t>Over</t>
  </si>
  <si>
    <t>%</t>
  </si>
  <si>
    <t>$/Year</t>
  </si>
  <si>
    <t>$/Hour</t>
  </si>
  <si>
    <t>Gals/hr</t>
  </si>
  <si>
    <r>
      <t xml:space="preserve">a </t>
    </r>
    <r>
      <rPr>
        <sz val="11"/>
        <rFont val="Arial"/>
        <family val="2"/>
      </rPr>
      <t xml:space="preserve">Repairs and maintenance costs are calculated as a % of the initial cost in Table 1.  Percentages are higher for equipment bought used. </t>
    </r>
  </si>
  <si>
    <r>
      <t xml:space="preserve">b </t>
    </r>
    <r>
      <rPr>
        <sz val="11"/>
        <rFont val="Arial"/>
        <family val="2"/>
      </rPr>
      <t>Repairs and maintenance costs per hour based on annual use shown in Table 1.</t>
    </r>
  </si>
  <si>
    <t>Table 3.  Sensitivity Analysis</t>
  </si>
  <si>
    <t>Base</t>
  </si>
  <si>
    <t>COST</t>
  </si>
  <si>
    <t xml:space="preserve">      -Machinery Labor (From Table 2)</t>
  </si>
  <si>
    <t xml:space="preserve">      -Machinery Fuel, Maint, Repairs (Table 2)</t>
  </si>
  <si>
    <t xml:space="preserve">      -10-10-10, dry bulk</t>
  </si>
  <si>
    <t>Each ton of pasture dry matter typically provides 86 animal unit days of grazing.  A beef cow = 1 AU.</t>
  </si>
  <si>
    <t>Rate Charged, percent ====&gt;</t>
  </si>
  <si>
    <t xml:space="preserve">  Tractor, HP=</t>
  </si>
  <si>
    <t>Pasture Clipping</t>
  </si>
  <si>
    <t>Other</t>
  </si>
  <si>
    <t xml:space="preserve">  Pickup Truck, 3/4 Ton</t>
  </si>
  <si>
    <t>Fuel cost per gallon &amp; Labor cost per hour ====&gt;</t>
  </si>
  <si>
    <t xml:space="preserve">  + Bushhog</t>
  </si>
  <si>
    <t>Fuel &amp;</t>
  </si>
  <si>
    <r>
      <t>Lube</t>
    </r>
    <r>
      <rPr>
        <b/>
        <vertAlign val="superscript"/>
        <sz val="11"/>
        <rFont val="Arial"/>
        <family val="2"/>
      </rPr>
      <t>c</t>
    </r>
  </si>
  <si>
    <r>
      <t xml:space="preserve">c </t>
    </r>
    <r>
      <rPr>
        <sz val="11"/>
        <rFont val="Arial"/>
        <family val="2"/>
      </rPr>
      <t>Total fuel cost plus lube costs estimated as 15% of the fuel cost.</t>
    </r>
  </si>
  <si>
    <r>
      <t xml:space="preserve">d </t>
    </r>
    <r>
      <rPr>
        <sz val="11"/>
        <rFont val="Arial"/>
        <family val="2"/>
      </rPr>
      <t>Per acre costs for tractors and other self-propelled equipment includes an additional 10% allowance for travel time from farm to field.</t>
    </r>
  </si>
  <si>
    <r>
      <t>Op. Cost</t>
    </r>
    <r>
      <rPr>
        <b/>
        <vertAlign val="superscript"/>
        <sz val="11"/>
        <rFont val="Arial"/>
        <family val="2"/>
      </rPr>
      <t>d</t>
    </r>
  </si>
  <si>
    <r>
      <t>Cost</t>
    </r>
    <r>
      <rPr>
        <b/>
        <vertAlign val="superscript"/>
        <sz val="11"/>
        <rFont val="Arial"/>
        <family val="2"/>
      </rPr>
      <t>e</t>
    </r>
  </si>
  <si>
    <t xml:space="preserve">     -Machinery Depreciation, Taxes, Insurance,</t>
  </si>
  <si>
    <t xml:space="preserve">            and Interest (From Table 1)</t>
  </si>
  <si>
    <t>Budget</t>
  </si>
  <si>
    <t xml:space="preserve">YIELD </t>
  </si>
  <si>
    <t>+10%</t>
  </si>
  <si>
    <t>Specifically, the cost and yields shown in the enterprise budget on the first page are believed  to be fairly representative of conditions</t>
  </si>
  <si>
    <t xml:space="preserve">in North Carolina.   However, there is a wide variation in conditions from one farm to another and costs and yields can vary from year to year. </t>
  </si>
  <si>
    <t>The table shows the effects of yields and costs that are 10 percent higher or lower than the basic budget, singly and in combination.</t>
  </si>
  <si>
    <t>This table shows the total cost per ton of dry matter produced under various assumptions about costs and yields.</t>
  </si>
  <si>
    <t>AVERAGE TOTAL COST PER TON OF DRY MATTER PRODUCED</t>
  </si>
  <si>
    <t>Budget 88-9</t>
  </si>
  <si>
    <t xml:space="preserve">Pasture typically is 20 to 25% dry matter, 65% digestible and provides 1300 pounds of TDN per ton of dry matter. </t>
  </si>
  <si>
    <t>Spraying</t>
  </si>
  <si>
    <t xml:space="preserve">  + Sprayer</t>
  </si>
  <si>
    <t>Planting</t>
  </si>
  <si>
    <t>Land preparation</t>
  </si>
  <si>
    <t xml:space="preserve">  + Chisel plow</t>
  </si>
  <si>
    <t>Bu.</t>
  </si>
  <si>
    <r>
      <t xml:space="preserve">b </t>
    </r>
    <r>
      <rPr>
        <sz val="10"/>
        <rFont val="Arial"/>
        <family val="2"/>
      </rPr>
      <t>Interest on operating expenses for an average of 3 months.</t>
    </r>
  </si>
  <si>
    <r>
      <t xml:space="preserve">c </t>
    </r>
    <r>
      <rPr>
        <sz val="10"/>
        <rFont val="Arial"/>
        <family val="2"/>
      </rPr>
      <t>Only place a value on pasture if it is rented out.</t>
    </r>
  </si>
  <si>
    <r>
      <t xml:space="preserve">d </t>
    </r>
    <r>
      <rPr>
        <sz val="10"/>
        <rFont val="Arial"/>
        <family val="2"/>
      </rPr>
      <t xml:space="preserve">This is the cost of grazing per acre = Total annual cost LESS the value of any pasture rented out. </t>
    </r>
  </si>
  <si>
    <r>
      <t xml:space="preserve">e </t>
    </r>
    <r>
      <rPr>
        <sz val="10"/>
        <rFont val="Arial"/>
        <family val="2"/>
      </rPr>
      <t>Total cost divided by total dry matter produced</t>
    </r>
  </si>
  <si>
    <r>
      <t>AVERAGE COST PER TON OF DRY MATTER</t>
    </r>
    <r>
      <rPr>
        <b/>
        <vertAlign val="superscript"/>
        <sz val="10"/>
        <rFont val="Arial"/>
        <family val="2"/>
      </rPr>
      <t>e</t>
    </r>
  </si>
  <si>
    <r>
      <t>RETURNS ABOVE ALL SPECIFIED COSTS</t>
    </r>
    <r>
      <rPr>
        <b/>
        <vertAlign val="superscript"/>
        <sz val="10"/>
        <rFont val="Arial"/>
        <family val="2"/>
      </rPr>
      <t>d</t>
    </r>
  </si>
  <si>
    <r>
      <t>Price</t>
    </r>
    <r>
      <rPr>
        <b/>
        <vertAlign val="superscript"/>
        <sz val="10"/>
        <rFont val="Arial"/>
        <family val="2"/>
      </rPr>
      <t>c</t>
    </r>
  </si>
  <si>
    <r>
      <t xml:space="preserve">      -Annual Operating Capital</t>
    </r>
    <r>
      <rPr>
        <vertAlign val="superscript"/>
        <sz val="10"/>
        <rFont val="Arial"/>
        <family val="2"/>
      </rPr>
      <t>b</t>
    </r>
  </si>
  <si>
    <r>
      <t xml:space="preserve">      -Cereal Rye Seed</t>
    </r>
    <r>
      <rPr>
        <vertAlign val="superscript"/>
        <sz val="10"/>
        <rFont val="Arial"/>
        <family val="2"/>
      </rPr>
      <t>a</t>
    </r>
  </si>
  <si>
    <t xml:space="preserve">      -Burndown herbicide</t>
  </si>
  <si>
    <t>Budget does not include the cost of managing grazing livestock on this pasture.</t>
  </si>
  <si>
    <t xml:space="preserve">  + Harrow</t>
  </si>
  <si>
    <t xml:space="preserve">  + Disc</t>
  </si>
  <si>
    <t xml:space="preserve">annual revenue, operating cost, fixed cost and net returns per acre (No-till).        </t>
  </si>
  <si>
    <t xml:space="preserve">      -Lime, applied, pro-rated share</t>
  </si>
  <si>
    <t>TOTAL</t>
  </si>
  <si>
    <t>Comments</t>
  </si>
  <si>
    <t>J.T. Green, Jr., Crop Science Extension Specialist, NCSU (Retired).</t>
  </si>
  <si>
    <t xml:space="preserve">  + No-till Drill</t>
  </si>
  <si>
    <r>
      <t>Cereal rye &amp;/or annual ryegrass pasture for winter grazing:</t>
    </r>
    <r>
      <rPr>
        <sz val="12"/>
        <rFont val="Arial"/>
        <family val="2"/>
      </rPr>
      <t xml:space="preserve">  Estimated</t>
    </r>
  </si>
  <si>
    <t>G.A. Benson, Extension Economist, NCSU (Retired).</t>
  </si>
  <si>
    <t>lb.</t>
  </si>
  <si>
    <r>
      <t xml:space="preserve">      -Ryegrass Seed</t>
    </r>
    <r>
      <rPr>
        <vertAlign val="superscript"/>
        <sz val="10"/>
        <rFont val="Arial"/>
        <family val="2"/>
      </rPr>
      <t>a</t>
    </r>
  </si>
  <si>
    <r>
      <t>a</t>
    </r>
    <r>
      <rPr>
        <sz val="10"/>
        <rFont val="Arial"/>
        <family val="2"/>
      </rPr>
      <t>Estimated cost for an annual ryegrass seeding is 30lb of seed per acre at $1.25/lb = $37.50 seed cost per acre.</t>
    </r>
  </si>
  <si>
    <r>
      <t xml:space="preserve">e </t>
    </r>
    <r>
      <rPr>
        <sz val="11"/>
        <rFont val="Arial"/>
        <family val="2"/>
      </rPr>
      <t>Labor cost per acre includes an additional 15% allowance for travel time, setting up and finishing up.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</si>
</sst>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-yy;@"/>
    <numFmt numFmtId="165" formatCode="&quot;$&quot;#,##0.00"/>
    <numFmt numFmtId="166" formatCode="0.000"/>
    <numFmt numFmtId="167" formatCode="&quot;$&quot;#,##0.000_);\(&quot;$&quot;#,##0.000\)"/>
    <numFmt numFmtId="168" formatCode="0.0%"/>
    <numFmt numFmtId="169" formatCode="&quot;$&quot;#,##0"/>
    <numFmt numFmtId="170" formatCode="[$-409]dddd\,\ mmmm\ dd\,\ yyyy"/>
    <numFmt numFmtId="171" formatCode="0.0"/>
    <numFmt numFmtId="172" formatCode="#,##0.0"/>
    <numFmt numFmtId="173" formatCode="[$-409]mmm\-yy;@"/>
  </numFmts>
  <fonts count="47">
    <font>
      <sz val="11"/>
      <name val="Arial"/>
      <family val="0"/>
    </font>
    <font>
      <b/>
      <sz val="10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color indexed="10"/>
      <name val="Arial"/>
      <family val="2"/>
    </font>
    <font>
      <b/>
      <vertAlign val="superscript"/>
      <sz val="10"/>
      <name val="Arial"/>
      <family val="2"/>
    </font>
    <font>
      <b/>
      <sz val="11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9C0006"/>
      <name val="Arial"/>
      <family val="2"/>
    </font>
    <font>
      <b/>
      <sz val="11"/>
      <color rgb="FFFA7D00"/>
      <name val="Arial"/>
      <family val="2"/>
    </font>
    <font>
      <b/>
      <sz val="11"/>
      <color theme="0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3F3F76"/>
      <name val="Arial"/>
      <family val="2"/>
    </font>
    <font>
      <sz val="11"/>
      <color rgb="FFFA7D00"/>
      <name val="Arial"/>
      <family val="2"/>
    </font>
    <font>
      <sz val="11"/>
      <color rgb="FF9C6500"/>
      <name val="Arial"/>
      <family val="2"/>
    </font>
    <font>
      <b/>
      <sz val="11"/>
      <color rgb="FF3F3F3F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8" fontId="1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166" fontId="2" fillId="0" borderId="10" xfId="0" applyNumberFormat="1" applyFont="1" applyBorder="1" applyAlignment="1">
      <alignment/>
    </xf>
    <xf numFmtId="7" fontId="2" fillId="0" borderId="10" xfId="0" applyNumberFormat="1" applyFont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0" borderId="10" xfId="0" applyBorder="1" applyAlignment="1">
      <alignment/>
    </xf>
    <xf numFmtId="0" fontId="2" fillId="33" borderId="12" xfId="0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0" xfId="0" applyFont="1" applyBorder="1" applyAlignment="1">
      <alignment/>
    </xf>
    <xf numFmtId="165" fontId="4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2" fontId="2" fillId="0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2" fillId="33" borderId="0" xfId="0" applyNumberFormat="1" applyFont="1" applyFill="1" applyBorder="1" applyAlignment="1">
      <alignment/>
    </xf>
    <xf numFmtId="2" fontId="1" fillId="0" borderId="10" xfId="0" applyNumberFormat="1" applyFont="1" applyBorder="1" applyAlignment="1">
      <alignment horizontal="center"/>
    </xf>
    <xf numFmtId="2" fontId="2" fillId="33" borderId="10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 quotePrefix="1">
      <alignment horizontal="left"/>
    </xf>
    <xf numFmtId="0" fontId="0" fillId="0" borderId="0" xfId="0" applyFont="1" applyAlignment="1">
      <alignment horizontal="right"/>
    </xf>
    <xf numFmtId="17" fontId="0" fillId="0" borderId="0" xfId="0" applyNumberFormat="1" applyFont="1" applyAlignment="1">
      <alignment horizontal="left"/>
    </xf>
    <xf numFmtId="0" fontId="6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 quotePrefix="1">
      <alignment horizontal="center"/>
    </xf>
    <xf numFmtId="0" fontId="6" fillId="0" borderId="14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0" fontId="0" fillId="0" borderId="0" xfId="0" applyNumberFormat="1" applyFont="1" applyFill="1" applyAlignment="1">
      <alignment horizontal="right"/>
    </xf>
    <xf numFmtId="0" fontId="0" fillId="0" borderId="0" xfId="0" applyFont="1" applyFill="1" applyAlignment="1" quotePrefix="1">
      <alignment/>
    </xf>
    <xf numFmtId="3" fontId="0" fillId="0" borderId="0" xfId="0" applyNumberFormat="1" applyFont="1" applyFill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Alignment="1" quotePrefix="1">
      <alignment/>
    </xf>
    <xf numFmtId="0" fontId="0" fillId="0" borderId="0" xfId="0" applyFont="1" applyFill="1" applyAlignment="1">
      <alignment/>
    </xf>
    <xf numFmtId="0" fontId="0" fillId="0" borderId="14" xfId="0" applyFont="1" applyBorder="1" applyAlignment="1">
      <alignment/>
    </xf>
    <xf numFmtId="0" fontId="8" fillId="0" borderId="0" xfId="0" applyFont="1" applyAlignment="1" quotePrefix="1">
      <alignment horizontal="left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Alignment="1">
      <alignment horizontal="left"/>
    </xf>
    <xf numFmtId="4" fontId="0" fillId="0" borderId="0" xfId="0" applyNumberFormat="1" applyFont="1" applyAlignment="1">
      <alignment/>
    </xf>
    <xf numFmtId="4" fontId="0" fillId="0" borderId="0" xfId="0" applyNumberFormat="1" applyFont="1" applyFill="1" applyAlignment="1">
      <alignment/>
    </xf>
    <xf numFmtId="2" fontId="0" fillId="33" borderId="0" xfId="0" applyNumberFormat="1" applyFont="1" applyFill="1" applyAlignment="1">
      <alignment/>
    </xf>
    <xf numFmtId="3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5" xfId="0" applyBorder="1" applyAlignment="1">
      <alignment/>
    </xf>
    <xf numFmtId="0" fontId="6" fillId="0" borderId="0" xfId="0" applyFont="1" applyAlignment="1">
      <alignment/>
    </xf>
    <xf numFmtId="165" fontId="0" fillId="0" borderId="16" xfId="0" applyNumberFormat="1" applyFont="1" applyBorder="1" applyAlignment="1">
      <alignment/>
    </xf>
    <xf numFmtId="169" fontId="0" fillId="0" borderId="13" xfId="0" applyNumberFormat="1" applyFont="1" applyBorder="1" applyAlignment="1">
      <alignment/>
    </xf>
    <xf numFmtId="165" fontId="0" fillId="0" borderId="11" xfId="0" applyNumberFormat="1" applyFont="1" applyBorder="1" applyAlignment="1">
      <alignment/>
    </xf>
    <xf numFmtId="165" fontId="0" fillId="0" borderId="17" xfId="0" applyNumberFormat="1" applyFont="1" applyBorder="1" applyAlignment="1">
      <alignment/>
    </xf>
    <xf numFmtId="169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4" fontId="0" fillId="0" borderId="18" xfId="0" applyNumberFormat="1" applyFont="1" applyBorder="1" applyAlignment="1">
      <alignment/>
    </xf>
    <xf numFmtId="0" fontId="0" fillId="0" borderId="0" xfId="0" applyFont="1" applyBorder="1" applyAlignment="1">
      <alignment horizontal="right"/>
    </xf>
    <xf numFmtId="165" fontId="0" fillId="0" borderId="19" xfId="0" applyNumberFormat="1" applyFont="1" applyBorder="1" applyAlignment="1">
      <alignment/>
    </xf>
    <xf numFmtId="169" fontId="0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65" fontId="0" fillId="0" borderId="13" xfId="0" applyNumberFormat="1" applyFont="1" applyBorder="1" applyAlignment="1">
      <alignment/>
    </xf>
    <xf numFmtId="165" fontId="0" fillId="0" borderId="14" xfId="0" applyNumberFormat="1" applyFont="1" applyBorder="1" applyAlignment="1">
      <alignment/>
    </xf>
    <xf numFmtId="165" fontId="0" fillId="0" borderId="18" xfId="0" applyNumberFormat="1" applyFont="1" applyBorder="1" applyAlignment="1">
      <alignment/>
    </xf>
    <xf numFmtId="165" fontId="0" fillId="0" borderId="12" xfId="0" applyNumberFormat="1" applyFont="1" applyBorder="1" applyAlignment="1">
      <alignment/>
    </xf>
    <xf numFmtId="165" fontId="1" fillId="0" borderId="10" xfId="0" applyNumberFormat="1" applyFont="1" applyBorder="1" applyAlignment="1">
      <alignment/>
    </xf>
    <xf numFmtId="171" fontId="0" fillId="0" borderId="0" xfId="0" applyNumberFormat="1" applyFont="1" applyFill="1" applyAlignment="1">
      <alignment horizontal="center"/>
    </xf>
    <xf numFmtId="1" fontId="0" fillId="0" borderId="0" xfId="0" applyNumberFormat="1" applyFont="1" applyFill="1" applyAlignment="1">
      <alignment horizontal="center"/>
    </xf>
    <xf numFmtId="0" fontId="0" fillId="0" borderId="0" xfId="0" applyFont="1" applyFill="1" applyAlignment="1" quotePrefix="1">
      <alignment horizontal="center"/>
    </xf>
    <xf numFmtId="3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171" fontId="0" fillId="0" borderId="0" xfId="0" applyNumberFormat="1" applyFont="1" applyAlignment="1">
      <alignment/>
    </xf>
    <xf numFmtId="165" fontId="0" fillId="0" borderId="10" xfId="0" applyNumberFormat="1" applyFont="1" applyBorder="1" applyAlignment="1">
      <alignment/>
    </xf>
    <xf numFmtId="0" fontId="0" fillId="0" borderId="0" xfId="0" applyFill="1" applyAlignment="1">
      <alignment horizontal="center"/>
    </xf>
    <xf numFmtId="7" fontId="2" fillId="0" borderId="1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0" fontId="0" fillId="0" borderId="20" xfId="0" applyFont="1" applyBorder="1" applyAlignment="1">
      <alignment/>
    </xf>
    <xf numFmtId="3" fontId="0" fillId="0" borderId="2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Alignment="1" quotePrefix="1">
      <alignment horizontal="center"/>
    </xf>
    <xf numFmtId="4" fontId="0" fillId="0" borderId="20" xfId="0" applyNumberFormat="1" applyFont="1" applyBorder="1" applyAlignment="1">
      <alignment/>
    </xf>
    <xf numFmtId="0" fontId="0" fillId="0" borderId="20" xfId="0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2" fillId="33" borderId="17" xfId="0" applyFont="1" applyFill="1" applyBorder="1" applyAlignment="1">
      <alignment/>
    </xf>
    <xf numFmtId="2" fontId="0" fillId="0" borderId="0" xfId="0" applyNumberFormat="1" applyAlignment="1">
      <alignment/>
    </xf>
    <xf numFmtId="0" fontId="1" fillId="0" borderId="21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0" xfId="0" applyFont="1" applyBorder="1" applyAlignment="1">
      <alignment/>
    </xf>
    <xf numFmtId="0" fontId="3" fillId="0" borderId="0" xfId="0" applyFont="1" applyFill="1" applyBorder="1" applyAlignment="1">
      <alignment/>
    </xf>
    <xf numFmtId="0" fontId="11" fillId="0" borderId="0" xfId="0" applyFont="1" applyAlignment="1">
      <alignment/>
    </xf>
    <xf numFmtId="165" fontId="6" fillId="0" borderId="20" xfId="0" applyNumberFormat="1" applyFont="1" applyBorder="1" applyAlignment="1">
      <alignment/>
    </xf>
    <xf numFmtId="165" fontId="0" fillId="0" borderId="20" xfId="0" applyNumberFormat="1" applyFont="1" applyBorder="1" applyAlignment="1">
      <alignment/>
    </xf>
    <xf numFmtId="165" fontId="2" fillId="0" borderId="10" xfId="0" applyNumberFormat="1" applyFont="1" applyBorder="1" applyAlignment="1">
      <alignment/>
    </xf>
    <xf numFmtId="0" fontId="2" fillId="34" borderId="10" xfId="0" applyFont="1" applyFill="1" applyBorder="1" applyAlignment="1" applyProtection="1">
      <alignment/>
      <protection locked="0"/>
    </xf>
    <xf numFmtId="0" fontId="2" fillId="34" borderId="10" xfId="0" applyFont="1" applyFill="1" applyBorder="1" applyAlignment="1" applyProtection="1">
      <alignment horizontal="center"/>
      <protection locked="0"/>
    </xf>
    <xf numFmtId="7" fontId="2" fillId="34" borderId="10" xfId="0" applyNumberFormat="1" applyFont="1" applyFill="1" applyBorder="1" applyAlignment="1" applyProtection="1">
      <alignment horizontal="center"/>
      <protection locked="0"/>
    </xf>
    <xf numFmtId="2" fontId="2" fillId="34" borderId="10" xfId="0" applyNumberFormat="1" applyFont="1" applyFill="1" applyBorder="1" applyAlignment="1" applyProtection="1">
      <alignment horizontal="center"/>
      <protection locked="0"/>
    </xf>
    <xf numFmtId="168" fontId="2" fillId="34" borderId="10" xfId="0" applyNumberFormat="1" applyFont="1" applyFill="1" applyBorder="1" applyAlignment="1" applyProtection="1">
      <alignment horizontal="center"/>
      <protection locked="0"/>
    </xf>
    <xf numFmtId="8" fontId="2" fillId="34" borderId="10" xfId="0" applyNumberFormat="1" applyFont="1" applyFill="1" applyBorder="1" applyAlignment="1" applyProtection="1">
      <alignment/>
      <protection locked="0"/>
    </xf>
    <xf numFmtId="10" fontId="0" fillId="34" borderId="0" xfId="0" applyNumberFormat="1" applyFont="1" applyFill="1" applyAlignment="1" applyProtection="1">
      <alignment horizontal="right"/>
      <protection locked="0"/>
    </xf>
    <xf numFmtId="0" fontId="0" fillId="34" borderId="0" xfId="0" applyFont="1" applyFill="1" applyAlignment="1" applyProtection="1" quotePrefix="1">
      <alignment/>
      <protection locked="0"/>
    </xf>
    <xf numFmtId="0" fontId="0" fillId="34" borderId="0" xfId="0" applyFont="1" applyFill="1" applyAlignment="1" applyProtection="1">
      <alignment horizontal="center"/>
      <protection locked="0"/>
    </xf>
    <xf numFmtId="3" fontId="0" fillId="34" borderId="0" xfId="0" applyNumberFormat="1" applyFont="1" applyFill="1" applyAlignment="1" applyProtection="1">
      <alignment/>
      <protection locked="0"/>
    </xf>
    <xf numFmtId="0" fontId="0" fillId="0" borderId="0" xfId="0" applyFont="1" applyFill="1" applyAlignment="1" applyProtection="1" quotePrefix="1">
      <alignment/>
      <protection locked="0"/>
    </xf>
    <xf numFmtId="1" fontId="0" fillId="34" borderId="0" xfId="0" applyNumberFormat="1" applyFont="1" applyFill="1" applyAlignment="1" applyProtection="1">
      <alignment horizontal="center"/>
      <protection locked="0"/>
    </xf>
    <xf numFmtId="0" fontId="0" fillId="34" borderId="0" xfId="0" applyFont="1" applyFill="1" applyAlignment="1" applyProtection="1" quotePrefix="1">
      <alignment horizontal="center"/>
      <protection locked="0"/>
    </xf>
    <xf numFmtId="0" fontId="0" fillId="34" borderId="0" xfId="0" applyFont="1" applyFill="1" applyAlignment="1" applyProtection="1">
      <alignment/>
      <protection locked="0"/>
    </xf>
    <xf numFmtId="0" fontId="0" fillId="34" borderId="0" xfId="0" applyFont="1" applyFill="1" applyBorder="1" applyAlignment="1" applyProtection="1" quotePrefix="1">
      <alignment/>
      <protection locked="0"/>
    </xf>
    <xf numFmtId="0" fontId="0" fillId="34" borderId="0" xfId="0" applyFont="1" applyFill="1" applyBorder="1" applyAlignment="1" applyProtection="1">
      <alignment/>
      <protection locked="0"/>
    </xf>
    <xf numFmtId="0" fontId="0" fillId="34" borderId="0" xfId="0" applyFont="1" applyFill="1" applyBorder="1" applyAlignment="1" applyProtection="1">
      <alignment horizontal="center"/>
      <protection locked="0"/>
    </xf>
    <xf numFmtId="3" fontId="0" fillId="34" borderId="0" xfId="0" applyNumberFormat="1" applyFont="1" applyFill="1" applyBorder="1" applyAlignment="1" applyProtection="1">
      <alignment/>
      <protection locked="0"/>
    </xf>
    <xf numFmtId="2" fontId="0" fillId="34" borderId="0" xfId="0" applyNumberFormat="1" applyFont="1" applyFill="1" applyAlignment="1" applyProtection="1">
      <alignment/>
      <protection locked="0"/>
    </xf>
    <xf numFmtId="4" fontId="0" fillId="34" borderId="0" xfId="0" applyNumberFormat="1" applyFont="1" applyFill="1" applyAlignment="1" applyProtection="1">
      <alignment/>
      <protection locked="0"/>
    </xf>
    <xf numFmtId="9" fontId="0" fillId="34" borderId="0" xfId="0" applyNumberFormat="1" applyFont="1" applyFill="1" applyAlignment="1" applyProtection="1">
      <alignment horizontal="center"/>
      <protection locked="0"/>
    </xf>
    <xf numFmtId="4" fontId="0" fillId="34" borderId="0" xfId="0" applyNumberFormat="1" applyFont="1" applyFill="1" applyBorder="1" applyAlignment="1" applyProtection="1">
      <alignment/>
      <protection locked="0"/>
    </xf>
    <xf numFmtId="9" fontId="0" fillId="34" borderId="0" xfId="0" applyNumberFormat="1" applyFont="1" applyFill="1" applyBorder="1" applyAlignment="1" applyProtection="1">
      <alignment horizontal="right"/>
      <protection locked="0"/>
    </xf>
    <xf numFmtId="9" fontId="0" fillId="34" borderId="0" xfId="0" applyNumberFormat="1" applyFont="1" applyFill="1" applyBorder="1" applyAlignment="1" applyProtection="1" quotePrefix="1">
      <alignment horizontal="right"/>
      <protection locked="0"/>
    </xf>
    <xf numFmtId="9" fontId="0" fillId="34" borderId="0" xfId="0" applyNumberFormat="1" applyFont="1" applyFill="1" applyAlignment="1" applyProtection="1" quotePrefix="1">
      <alignment horizontal="center"/>
      <protection locked="0"/>
    </xf>
    <xf numFmtId="3" fontId="0" fillId="35" borderId="0" xfId="0" applyNumberFormat="1" applyFont="1" applyFill="1" applyAlignment="1" applyProtection="1">
      <alignment/>
      <protection locked="0"/>
    </xf>
    <xf numFmtId="3" fontId="0" fillId="35" borderId="0" xfId="0" applyNumberFormat="1" applyFont="1" applyFill="1" applyBorder="1" applyAlignment="1" applyProtection="1">
      <alignment/>
      <protection locked="0"/>
    </xf>
    <xf numFmtId="0" fontId="10" fillId="34" borderId="0" xfId="0" applyFont="1" applyFill="1" applyAlignment="1" applyProtection="1">
      <alignment/>
      <protection locked="0"/>
    </xf>
    <xf numFmtId="0" fontId="0" fillId="34" borderId="0" xfId="0" applyFill="1" applyAlignment="1" applyProtection="1">
      <alignment/>
      <protection locked="0"/>
    </xf>
    <xf numFmtId="0" fontId="0" fillId="0" borderId="23" xfId="0" applyBorder="1" applyAlignment="1">
      <alignment/>
    </xf>
    <xf numFmtId="0" fontId="0" fillId="0" borderId="23" xfId="0" applyFont="1" applyBorder="1" applyAlignment="1">
      <alignment/>
    </xf>
    <xf numFmtId="0" fontId="0" fillId="0" borderId="13" xfId="0" applyBorder="1" applyAlignment="1">
      <alignment/>
    </xf>
    <xf numFmtId="0" fontId="12" fillId="0" borderId="23" xfId="0" applyFont="1" applyBorder="1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 vertical="center" textRotation="90"/>
    </xf>
    <xf numFmtId="3" fontId="0" fillId="36" borderId="0" xfId="0" applyNumberFormat="1" applyFont="1" applyFill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9525</xdr:rowOff>
    </xdr:from>
    <xdr:to>
      <xdr:col>1</xdr:col>
      <xdr:colOff>9525</xdr:colOff>
      <xdr:row>1</xdr:row>
      <xdr:rowOff>9525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27146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8"/>
  <sheetViews>
    <sheetView tabSelected="1" zoomScale="80" zoomScaleNormal="80" zoomScaleSheetLayoutView="75" zoomScalePageLayoutView="0" workbookViewId="0" topLeftCell="A1">
      <selection activeCell="A6" sqref="A6"/>
    </sheetView>
  </sheetViews>
  <sheetFormatPr defaultColWidth="9.00390625" defaultRowHeight="14.25"/>
  <cols>
    <col min="1" max="1" width="35.50390625" style="0" customWidth="1"/>
    <col min="2" max="2" width="8.125" style="0" customWidth="1"/>
    <col min="3" max="3" width="9.25390625" style="0" customWidth="1"/>
    <col min="4" max="4" width="9.75390625" style="0" customWidth="1"/>
    <col min="5" max="5" width="9.875" style="0" customWidth="1"/>
    <col min="6" max="6" width="13.00390625" style="0" customWidth="1"/>
  </cols>
  <sheetData>
    <row r="1" spans="1:6" ht="22.5" customHeight="1">
      <c r="A1" s="137"/>
      <c r="B1" s="137"/>
      <c r="C1" s="138"/>
      <c r="D1" s="140"/>
      <c r="E1" s="137"/>
      <c r="F1" s="137"/>
    </row>
    <row r="2" spans="1:6" ht="20.25" customHeight="1">
      <c r="A2" s="104" t="s">
        <v>129</v>
      </c>
      <c r="F2" s="1" t="s">
        <v>102</v>
      </c>
    </row>
    <row r="3" spans="1:6" ht="17.25" customHeight="1">
      <c r="A3" s="135" t="s">
        <v>123</v>
      </c>
      <c r="B3" s="136"/>
      <c r="C3" s="136"/>
      <c r="D3" s="136"/>
      <c r="E3" s="136"/>
      <c r="F3" s="141">
        <v>41426</v>
      </c>
    </row>
    <row r="4" spans="1:6" ht="15" customHeight="1">
      <c r="A4" s="2" t="s">
        <v>0</v>
      </c>
      <c r="B4" s="3" t="s">
        <v>1</v>
      </c>
      <c r="C4" s="4" t="s">
        <v>2</v>
      </c>
      <c r="D4" s="3" t="s">
        <v>3</v>
      </c>
      <c r="E4" s="5" t="s">
        <v>4</v>
      </c>
      <c r="F4" s="3" t="s">
        <v>126</v>
      </c>
    </row>
    <row r="5" spans="1:6" ht="14.25">
      <c r="A5" s="2" t="s">
        <v>5</v>
      </c>
      <c r="B5" s="6"/>
      <c r="C5" s="7"/>
      <c r="D5" s="8"/>
      <c r="E5" s="14"/>
      <c r="F5" s="7"/>
    </row>
    <row r="6" spans="1:6" ht="14.25">
      <c r="A6" s="108" t="s">
        <v>124</v>
      </c>
      <c r="B6" s="109" t="s">
        <v>6</v>
      </c>
      <c r="C6" s="110">
        <v>50</v>
      </c>
      <c r="D6" s="111">
        <v>0.2</v>
      </c>
      <c r="E6" s="107">
        <f aca="true" t="shared" si="0" ref="E6:E13">C6*D6</f>
        <v>10</v>
      </c>
      <c r="F6" s="7"/>
    </row>
    <row r="7" spans="1:6" ht="14.25">
      <c r="A7" s="108" t="s">
        <v>77</v>
      </c>
      <c r="B7" s="109" t="s">
        <v>10</v>
      </c>
      <c r="C7" s="110">
        <v>20.7</v>
      </c>
      <c r="D7" s="111">
        <v>3</v>
      </c>
      <c r="E7" s="19">
        <f t="shared" si="0"/>
        <v>62.099999999999994</v>
      </c>
      <c r="F7" s="7"/>
    </row>
    <row r="8" spans="1:6" ht="14.25">
      <c r="A8" s="108" t="s">
        <v>9</v>
      </c>
      <c r="B8" s="109" t="s">
        <v>10</v>
      </c>
      <c r="C8" s="110">
        <v>20.5</v>
      </c>
      <c r="D8" s="111">
        <v>3</v>
      </c>
      <c r="E8" s="14">
        <f t="shared" si="0"/>
        <v>61.5</v>
      </c>
      <c r="F8" s="7"/>
    </row>
    <row r="9" spans="1:6" ht="14.25">
      <c r="A9" s="108" t="s">
        <v>8</v>
      </c>
      <c r="B9" s="109" t="s">
        <v>7</v>
      </c>
      <c r="C9" s="110">
        <v>7</v>
      </c>
      <c r="D9" s="111">
        <v>2</v>
      </c>
      <c r="E9" s="14">
        <f t="shared" si="0"/>
        <v>14</v>
      </c>
      <c r="F9" s="7"/>
    </row>
    <row r="10" spans="1:6" ht="14.25">
      <c r="A10" s="108" t="s">
        <v>118</v>
      </c>
      <c r="B10" s="109" t="s">
        <v>109</v>
      </c>
      <c r="C10" s="110">
        <v>17</v>
      </c>
      <c r="D10" s="111">
        <v>2</v>
      </c>
      <c r="E10" s="14">
        <f t="shared" si="0"/>
        <v>34</v>
      </c>
      <c r="F10" s="7"/>
    </row>
    <row r="11" spans="1:6" ht="14.25">
      <c r="A11" s="108" t="s">
        <v>132</v>
      </c>
      <c r="B11" s="109" t="s">
        <v>131</v>
      </c>
      <c r="C11" s="110">
        <v>1.25</v>
      </c>
      <c r="D11" s="111">
        <v>0</v>
      </c>
      <c r="E11" s="14">
        <f t="shared" si="0"/>
        <v>0</v>
      </c>
      <c r="F11" s="7"/>
    </row>
    <row r="12" spans="1:6" ht="14.25">
      <c r="A12" s="108" t="s">
        <v>119</v>
      </c>
      <c r="B12" s="109" t="s">
        <v>7</v>
      </c>
      <c r="C12" s="110">
        <v>5</v>
      </c>
      <c r="D12" s="111">
        <v>1</v>
      </c>
      <c r="E12" s="14">
        <f t="shared" si="0"/>
        <v>5</v>
      </c>
      <c r="F12" s="7"/>
    </row>
    <row r="13" spans="1:6" ht="14.25">
      <c r="A13" s="108" t="s">
        <v>11</v>
      </c>
      <c r="B13" s="109"/>
      <c r="C13" s="110"/>
      <c r="D13" s="111"/>
      <c r="E13" s="14">
        <f t="shared" si="0"/>
        <v>0</v>
      </c>
      <c r="F13" s="7"/>
    </row>
    <row r="14" spans="1:6" ht="14.25">
      <c r="A14" s="7" t="s">
        <v>75</v>
      </c>
      <c r="B14" s="6"/>
      <c r="C14" s="87"/>
      <c r="D14" s="20"/>
      <c r="E14" s="19">
        <f>'WinterAnnualFixedCosts88-9'!N52</f>
        <v>14.124551920341393</v>
      </c>
      <c r="F14" s="7"/>
    </row>
    <row r="15" spans="1:6" ht="14.25">
      <c r="A15" s="108" t="s">
        <v>23</v>
      </c>
      <c r="B15" s="109" t="s">
        <v>12</v>
      </c>
      <c r="C15" s="110">
        <v>12</v>
      </c>
      <c r="D15" s="111">
        <v>0</v>
      </c>
      <c r="E15" s="19">
        <f>C15*D15</f>
        <v>0</v>
      </c>
      <c r="F15" s="7"/>
    </row>
    <row r="16" spans="1:6" ht="14.25">
      <c r="A16" s="7" t="s">
        <v>76</v>
      </c>
      <c r="B16" s="6" t="s">
        <v>7</v>
      </c>
      <c r="C16" s="87"/>
      <c r="D16" s="20"/>
      <c r="E16" s="19">
        <f>'WinterAnnualFixedCosts88-9'!L52</f>
        <v>12.713532989568517</v>
      </c>
      <c r="F16" s="7"/>
    </row>
    <row r="17" spans="1:6" ht="14.25">
      <c r="A17" s="7" t="s">
        <v>117</v>
      </c>
      <c r="B17" s="6" t="s">
        <v>24</v>
      </c>
      <c r="C17" s="112">
        <v>0.05</v>
      </c>
      <c r="D17" s="21">
        <f>SUM(E6:E16)*(3/12)</f>
        <v>53.35952122747747</v>
      </c>
      <c r="E17" s="14">
        <f>C17*D17</f>
        <v>2.667976061373874</v>
      </c>
      <c r="F17" s="7"/>
    </row>
    <row r="18" spans="1:6" ht="17.25" customHeight="1">
      <c r="A18" s="2" t="s">
        <v>13</v>
      </c>
      <c r="B18" s="6"/>
      <c r="C18" s="7"/>
      <c r="D18" s="20"/>
      <c r="E18" s="77">
        <f>SUM(E6:E17)</f>
        <v>216.10606097128377</v>
      </c>
      <c r="F18" s="7"/>
    </row>
    <row r="19" spans="1:6" ht="5.25" customHeight="1">
      <c r="A19" s="98"/>
      <c r="B19" s="10"/>
      <c r="C19" s="10"/>
      <c r="D19" s="10"/>
      <c r="E19" s="22"/>
      <c r="F19" s="11"/>
    </row>
    <row r="20" spans="1:6" ht="14.25">
      <c r="A20" s="7"/>
      <c r="B20" s="7"/>
      <c r="C20" s="3"/>
      <c r="D20" s="5" t="s">
        <v>14</v>
      </c>
      <c r="E20" s="23" t="s">
        <v>4</v>
      </c>
      <c r="F20" s="3"/>
    </row>
    <row r="21" spans="1:6" ht="14.25">
      <c r="A21" s="7" t="s">
        <v>15</v>
      </c>
      <c r="B21" s="7"/>
      <c r="C21" s="12"/>
      <c r="D21" s="9"/>
      <c r="E21" s="14"/>
      <c r="F21" s="7"/>
    </row>
    <row r="22" spans="1:6" ht="14.25">
      <c r="A22" s="7" t="s">
        <v>92</v>
      </c>
      <c r="B22" s="7"/>
      <c r="C22" s="12"/>
      <c r="D22" s="9"/>
      <c r="E22" s="14"/>
      <c r="F22" s="7"/>
    </row>
    <row r="23" spans="1:6" ht="18" customHeight="1">
      <c r="A23" s="7" t="s">
        <v>93</v>
      </c>
      <c r="B23" s="7"/>
      <c r="C23" s="12"/>
      <c r="D23" s="9"/>
      <c r="E23" s="19">
        <f>'WinterAnnualFixedCosts88-9'!O26</f>
        <v>11.33787785604552</v>
      </c>
      <c r="F23" s="7"/>
    </row>
    <row r="24" spans="1:6" ht="17.25" customHeight="1">
      <c r="A24" s="2" t="s">
        <v>16</v>
      </c>
      <c r="B24" s="7"/>
      <c r="C24" s="9"/>
      <c r="D24" s="7"/>
      <c r="E24" s="77">
        <f>E18+E23</f>
        <v>227.44393882732928</v>
      </c>
      <c r="F24" s="7"/>
    </row>
    <row r="25" spans="1:6" ht="6" customHeight="1">
      <c r="A25" s="98"/>
      <c r="B25" s="10"/>
      <c r="C25" s="10"/>
      <c r="D25" s="10"/>
      <c r="E25" s="10"/>
      <c r="F25" s="13"/>
    </row>
    <row r="26" spans="1:6" ht="15" customHeight="1">
      <c r="A26" s="7"/>
      <c r="B26" s="3" t="s">
        <v>1</v>
      </c>
      <c r="C26" s="4" t="s">
        <v>116</v>
      </c>
      <c r="D26" s="3" t="s">
        <v>3</v>
      </c>
      <c r="E26" s="5" t="s">
        <v>4</v>
      </c>
      <c r="F26" s="3"/>
    </row>
    <row r="27" spans="1:6" ht="15" customHeight="1">
      <c r="A27" s="7" t="s">
        <v>17</v>
      </c>
      <c r="B27" s="7"/>
      <c r="C27" s="7"/>
      <c r="D27" s="7"/>
      <c r="E27" s="7"/>
      <c r="F27" s="7"/>
    </row>
    <row r="28" spans="1:6" ht="14.25" customHeight="1">
      <c r="A28" s="108" t="s">
        <v>18</v>
      </c>
      <c r="B28" s="109" t="s">
        <v>6</v>
      </c>
      <c r="C28" s="113">
        <v>0</v>
      </c>
      <c r="D28" s="111">
        <v>2.5</v>
      </c>
      <c r="E28" s="14">
        <f>C28*D28</f>
        <v>0</v>
      </c>
      <c r="F28" s="7"/>
    </row>
    <row r="29" spans="1:6" ht="17.25" customHeight="1">
      <c r="A29" s="2" t="s">
        <v>19</v>
      </c>
      <c r="B29" s="7"/>
      <c r="C29" s="7"/>
      <c r="D29" s="7"/>
      <c r="E29" s="77">
        <f>E28</f>
        <v>0</v>
      </c>
      <c r="F29" s="7"/>
    </row>
    <row r="30" spans="1:6" ht="6" customHeight="1">
      <c r="A30" s="15"/>
      <c r="B30" s="15"/>
      <c r="C30" s="15"/>
      <c r="D30" s="15"/>
      <c r="E30" s="24"/>
      <c r="F30" s="15"/>
    </row>
    <row r="31" spans="1:6" ht="17.25" customHeight="1">
      <c r="A31" s="100" t="s">
        <v>20</v>
      </c>
      <c r="B31" s="102"/>
      <c r="C31" s="102"/>
      <c r="D31" s="101"/>
      <c r="E31" s="77">
        <f>E29-E18</f>
        <v>-216.10606097128377</v>
      </c>
      <c r="F31" s="7"/>
    </row>
    <row r="32" spans="1:6" ht="17.25" customHeight="1">
      <c r="A32" s="100" t="s">
        <v>115</v>
      </c>
      <c r="B32" s="102"/>
      <c r="C32" s="102"/>
      <c r="D32" s="101"/>
      <c r="E32" s="77">
        <f>E29-E24</f>
        <v>-227.44393882732928</v>
      </c>
      <c r="F32" s="7"/>
    </row>
    <row r="33" spans="1:6" ht="17.25" customHeight="1">
      <c r="A33" s="100" t="s">
        <v>114</v>
      </c>
      <c r="B33" s="102"/>
      <c r="C33" s="102"/>
      <c r="D33" s="101"/>
      <c r="E33" s="77">
        <f>E24/D28</f>
        <v>90.97757553093172</v>
      </c>
      <c r="F33" s="7"/>
    </row>
    <row r="34" spans="1:6" ht="15.75" customHeight="1">
      <c r="A34" s="103" t="s">
        <v>133</v>
      </c>
      <c r="B34" s="16"/>
      <c r="C34" s="16"/>
      <c r="D34" s="16"/>
      <c r="E34" s="88"/>
      <c r="F34" s="16"/>
    </row>
    <row r="35" spans="1:6" ht="14.25">
      <c r="A35" s="18" t="s">
        <v>110</v>
      </c>
      <c r="B35" s="16"/>
      <c r="C35" s="16"/>
      <c r="D35" s="16"/>
      <c r="E35" s="17"/>
      <c r="F35" s="16"/>
    </row>
    <row r="36" spans="1:6" ht="14.25" customHeight="1">
      <c r="A36" s="18" t="s">
        <v>111</v>
      </c>
      <c r="B36" s="16"/>
      <c r="C36" s="16"/>
      <c r="D36" s="16"/>
      <c r="F36" s="16"/>
    </row>
    <row r="37" spans="1:6" ht="14.25" customHeight="1">
      <c r="A37" s="18" t="s">
        <v>112</v>
      </c>
      <c r="B37" s="16"/>
      <c r="C37" s="16"/>
      <c r="D37" s="16"/>
      <c r="E37" s="88"/>
      <c r="F37" s="16"/>
    </row>
    <row r="38" spans="1:6" ht="14.25">
      <c r="A38" s="18" t="s">
        <v>113</v>
      </c>
      <c r="B38" s="16"/>
      <c r="C38" s="16"/>
      <c r="D38" s="16"/>
      <c r="E38" s="17"/>
      <c r="F38" s="16"/>
    </row>
    <row r="39" spans="2:6" ht="18" customHeight="1">
      <c r="B39" s="16"/>
      <c r="C39" s="16"/>
      <c r="D39" s="16"/>
      <c r="E39" s="17"/>
      <c r="F39" s="16"/>
    </row>
    <row r="40" spans="1:6" ht="14.25">
      <c r="A40" t="s">
        <v>22</v>
      </c>
      <c r="B40" s="16"/>
      <c r="C40" s="16"/>
      <c r="D40" s="16"/>
      <c r="E40" s="17"/>
      <c r="F40" s="16"/>
    </row>
    <row r="41" spans="1:6" ht="14.25">
      <c r="A41" s="16" t="s">
        <v>103</v>
      </c>
      <c r="B41" s="16"/>
      <c r="C41" s="16"/>
      <c r="D41" s="16"/>
      <c r="E41" s="17"/>
      <c r="F41" s="16"/>
    </row>
    <row r="42" spans="1:6" ht="14.25">
      <c r="A42" s="16" t="s">
        <v>78</v>
      </c>
      <c r="B42" s="16"/>
      <c r="C42" s="16"/>
      <c r="D42" s="16"/>
      <c r="E42" s="17"/>
      <c r="F42" s="16"/>
    </row>
    <row r="43" spans="1:6" ht="14.25">
      <c r="A43" s="16" t="s">
        <v>120</v>
      </c>
      <c r="B43" s="16"/>
      <c r="C43" s="16"/>
      <c r="D43" s="16"/>
      <c r="E43" s="17"/>
      <c r="F43" s="16"/>
    </row>
    <row r="44" spans="2:6" ht="14.25">
      <c r="B44" s="16"/>
      <c r="C44" s="16"/>
      <c r="D44" s="16"/>
      <c r="E44" s="17"/>
      <c r="F44" s="16"/>
    </row>
    <row r="45" spans="1:6" ht="14.25">
      <c r="A45" s="16" t="s">
        <v>21</v>
      </c>
      <c r="B45" s="16"/>
      <c r="C45" s="16"/>
      <c r="D45" s="16"/>
      <c r="E45" s="17"/>
      <c r="F45" s="16"/>
    </row>
    <row r="46" spans="1:6" ht="14.25">
      <c r="A46" s="16" t="s">
        <v>127</v>
      </c>
      <c r="B46" s="16"/>
      <c r="C46" s="16"/>
      <c r="D46" s="16"/>
      <c r="E46" s="17"/>
      <c r="F46" s="16"/>
    </row>
    <row r="47" spans="1:6" ht="14.25">
      <c r="A47" s="16" t="s">
        <v>130</v>
      </c>
      <c r="B47" s="16"/>
      <c r="C47" s="16"/>
      <c r="D47" s="16"/>
      <c r="E47" s="17"/>
      <c r="F47" s="16"/>
    </row>
    <row r="48" ht="9" customHeight="1">
      <c r="F48" s="16"/>
    </row>
  </sheetData>
  <sheetProtection sheet="1" selectLockedCells="1"/>
  <printOptions horizontalCentered="1"/>
  <pageMargins left="0.75" right="0.71" top="1" bottom="1" header="0.5" footer="0.5"/>
  <pageSetup horizontalDpi="1200" verticalDpi="1200" orientation="portrait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="70" zoomScaleNormal="70" zoomScalePageLayoutView="0" workbookViewId="0" topLeftCell="A1">
      <selection activeCell="G7" sqref="G7"/>
    </sheetView>
  </sheetViews>
  <sheetFormatPr defaultColWidth="9.00390625" defaultRowHeight="14.25"/>
  <cols>
    <col min="1" max="1" width="20.875" style="0" customWidth="1"/>
    <col min="2" max="2" width="4.625" style="0" customWidth="1"/>
    <col min="3" max="3" width="10.50390625" style="0" customWidth="1"/>
    <col min="4" max="4" width="9.375" style="0" customWidth="1"/>
    <col min="5" max="5" width="10.125" style="0" customWidth="1"/>
    <col min="6" max="6" width="8.25390625" style="0" customWidth="1"/>
    <col min="7" max="7" width="8.625" style="0" customWidth="1"/>
    <col min="8" max="8" width="8.125" style="0" customWidth="1"/>
    <col min="10" max="11" width="9.375" style="0" customWidth="1"/>
    <col min="12" max="12" width="10.875" style="0" customWidth="1"/>
    <col min="13" max="13" width="10.25390625" style="0" customWidth="1"/>
    <col min="14" max="14" width="8.875" style="0" customWidth="1"/>
    <col min="15" max="15" width="10.125" style="0" customWidth="1"/>
  </cols>
  <sheetData>
    <row r="1" spans="1:15" ht="21" customHeight="1">
      <c r="A1" s="96" t="str">
        <f>'WinterAnnualBudget88-9'!A2</f>
        <v>Cereal rye &amp;/or annual ryegrass pasture for winter grazing:  Estimated</v>
      </c>
      <c r="B1" s="25"/>
      <c r="C1" s="26"/>
      <c r="D1" s="26"/>
      <c r="E1" s="26"/>
      <c r="F1" s="26"/>
      <c r="G1" s="26"/>
      <c r="H1" s="27"/>
      <c r="I1" s="26"/>
      <c r="J1" s="104"/>
      <c r="K1" s="26"/>
      <c r="L1" s="26"/>
      <c r="O1" s="28" t="str">
        <f>'WinterAnnualBudget88-9'!F2</f>
        <v>Budget 88-9</v>
      </c>
    </row>
    <row r="2" spans="1:15" ht="15">
      <c r="A2" s="97" t="str">
        <f>'WinterAnnualBudget88-9'!A3</f>
        <v>annual revenue, operating cost, fixed cost and net returns per acre (No-till).        </v>
      </c>
      <c r="B2" s="26"/>
      <c r="C2" s="26"/>
      <c r="D2" s="26"/>
      <c r="E2" s="26"/>
      <c r="F2" s="26"/>
      <c r="G2" s="26"/>
      <c r="H2" s="29"/>
      <c r="J2" s="26"/>
      <c r="K2" s="26"/>
      <c r="L2" s="26"/>
      <c r="O2" s="142">
        <f>'WinterAnnualBudget88-9'!F3</f>
        <v>41426</v>
      </c>
    </row>
    <row r="3" spans="1:13" ht="19.5" customHeight="1">
      <c r="A3" s="30" t="s">
        <v>25</v>
      </c>
      <c r="B3" s="30"/>
      <c r="C3" s="31"/>
      <c r="D3" s="31"/>
      <c r="E3" s="31"/>
      <c r="F3" s="31"/>
      <c r="G3" s="31"/>
      <c r="H3" s="26"/>
      <c r="I3" s="26"/>
      <c r="J3" s="26"/>
      <c r="K3" s="26"/>
      <c r="L3" s="26"/>
      <c r="M3" s="26"/>
    </row>
    <row r="4" spans="1:15" ht="17.25">
      <c r="A4" s="32" t="s">
        <v>26</v>
      </c>
      <c r="B4" s="33"/>
      <c r="C4" s="33" t="s">
        <v>27</v>
      </c>
      <c r="D4" s="33" t="s">
        <v>28</v>
      </c>
      <c r="E4" s="33" t="s">
        <v>29</v>
      </c>
      <c r="F4" s="34" t="s">
        <v>30</v>
      </c>
      <c r="G4" s="34" t="s">
        <v>31</v>
      </c>
      <c r="H4" s="33" t="s">
        <v>32</v>
      </c>
      <c r="I4" s="33" t="s">
        <v>33</v>
      </c>
      <c r="J4" s="35" t="s">
        <v>33</v>
      </c>
      <c r="K4" s="35" t="s">
        <v>34</v>
      </c>
      <c r="L4" s="35" t="s">
        <v>35</v>
      </c>
      <c r="M4" s="35" t="s">
        <v>36</v>
      </c>
      <c r="N4" s="33" t="s">
        <v>37</v>
      </c>
      <c r="O4" s="35" t="s">
        <v>38</v>
      </c>
    </row>
    <row r="5" spans="1:15" ht="17.25">
      <c r="A5" s="36"/>
      <c r="B5" s="36"/>
      <c r="C5" s="36"/>
      <c r="D5" s="36" t="s">
        <v>39</v>
      </c>
      <c r="E5" s="36" t="s">
        <v>4</v>
      </c>
      <c r="F5" s="37" t="s">
        <v>40</v>
      </c>
      <c r="G5" s="36"/>
      <c r="H5" s="37" t="s">
        <v>41</v>
      </c>
      <c r="I5" s="36" t="s">
        <v>34</v>
      </c>
      <c r="J5" s="38" t="s">
        <v>42</v>
      </c>
      <c r="K5" s="38" t="s">
        <v>43</v>
      </c>
      <c r="L5" s="38" t="s">
        <v>43</v>
      </c>
      <c r="M5" s="38" t="s">
        <v>44</v>
      </c>
      <c r="N5" s="36" t="s">
        <v>45</v>
      </c>
      <c r="O5" s="38" t="s">
        <v>36</v>
      </c>
    </row>
    <row r="6" spans="1:15" ht="14.25">
      <c r="A6" s="31"/>
      <c r="B6" s="31"/>
      <c r="C6" s="39" t="s">
        <v>46</v>
      </c>
      <c r="D6" s="39" t="s">
        <v>24</v>
      </c>
      <c r="E6" s="39" t="s">
        <v>24</v>
      </c>
      <c r="F6" s="39" t="s">
        <v>24</v>
      </c>
      <c r="G6" s="39" t="s">
        <v>24</v>
      </c>
      <c r="H6" s="39" t="s">
        <v>24</v>
      </c>
      <c r="I6" s="39" t="s">
        <v>24</v>
      </c>
      <c r="J6" s="39" t="s">
        <v>12</v>
      </c>
      <c r="K6" s="39" t="s">
        <v>24</v>
      </c>
      <c r="L6" s="39" t="s">
        <v>47</v>
      </c>
      <c r="M6" s="39" t="s">
        <v>24</v>
      </c>
      <c r="N6" s="40" t="s">
        <v>47</v>
      </c>
      <c r="O6" s="39" t="s">
        <v>48</v>
      </c>
    </row>
    <row r="7" spans="1:15" ht="14.25">
      <c r="A7" s="26" t="s">
        <v>79</v>
      </c>
      <c r="B7" s="26"/>
      <c r="C7" s="39"/>
      <c r="D7" s="39"/>
      <c r="E7" s="39"/>
      <c r="F7" s="39"/>
      <c r="G7" s="114">
        <v>0.05</v>
      </c>
      <c r="H7" s="114">
        <v>0.014</v>
      </c>
      <c r="I7" s="41"/>
      <c r="J7" s="26"/>
      <c r="K7" s="26"/>
      <c r="L7" s="26"/>
      <c r="M7" s="26"/>
      <c r="N7" s="26"/>
      <c r="O7" s="26"/>
    </row>
    <row r="8" spans="1:15" ht="14.25">
      <c r="A8" s="26" t="s">
        <v>107</v>
      </c>
      <c r="B8" s="26"/>
      <c r="C8" s="47"/>
      <c r="D8" s="43"/>
      <c r="E8" s="43"/>
      <c r="F8" s="43"/>
      <c r="G8" s="44"/>
      <c r="H8" s="44"/>
      <c r="I8" s="43"/>
      <c r="J8" s="49"/>
      <c r="K8" s="46"/>
      <c r="L8" s="47"/>
      <c r="M8" s="45"/>
      <c r="N8" s="39"/>
      <c r="O8" s="26"/>
    </row>
    <row r="9" spans="1:15" ht="14.25">
      <c r="A9" s="42" t="s">
        <v>80</v>
      </c>
      <c r="B9" s="115">
        <v>55</v>
      </c>
      <c r="C9" s="116">
        <v>10</v>
      </c>
      <c r="D9" s="117">
        <v>23150</v>
      </c>
      <c r="E9" s="133">
        <f>D9*0.31</f>
        <v>7176.5</v>
      </c>
      <c r="F9" s="43">
        <f aca="true" t="shared" si="0" ref="F9:F14">+(D9-E9)/C9</f>
        <v>1597.35</v>
      </c>
      <c r="G9" s="44">
        <f aca="true" t="shared" si="1" ref="G9:G14">+((D9+E9)/2)*$G$7</f>
        <v>758.1625</v>
      </c>
      <c r="H9" s="44">
        <f aca="true" t="shared" si="2" ref="H9:H14">((D9+E9)/2)*$H$7</f>
        <v>212.2855</v>
      </c>
      <c r="I9" s="44">
        <f aca="true" t="shared" si="3" ref="I9:I14">SUM(F9:H9)</f>
        <v>2567.798</v>
      </c>
      <c r="J9" s="119">
        <v>500</v>
      </c>
      <c r="K9" s="45">
        <f aca="true" t="shared" si="4" ref="K9:K14">IF(J9=0,0,I9/J9)</f>
        <v>5.135596</v>
      </c>
      <c r="L9" s="116">
        <v>3.5</v>
      </c>
      <c r="M9" s="45">
        <f aca="true" t="shared" si="5" ref="M9:M14">IF(K9&gt;0,K9/L9,0)</f>
        <v>1.4673131428571426</v>
      </c>
      <c r="N9" s="120">
        <v>0</v>
      </c>
      <c r="O9" s="45">
        <f aca="true" t="shared" si="6" ref="O9:O14">M9*N9</f>
        <v>0</v>
      </c>
    </row>
    <row r="10" spans="1:15" ht="14.25">
      <c r="A10" s="115" t="s">
        <v>108</v>
      </c>
      <c r="B10" s="118"/>
      <c r="C10" s="116">
        <v>20</v>
      </c>
      <c r="D10" s="117">
        <v>3675</v>
      </c>
      <c r="E10" s="133">
        <f>D10*0.33</f>
        <v>1212.75</v>
      </c>
      <c r="F10" s="43">
        <f t="shared" si="0"/>
        <v>123.1125</v>
      </c>
      <c r="G10" s="44">
        <f t="shared" si="1"/>
        <v>122.19375000000001</v>
      </c>
      <c r="H10" s="44">
        <f t="shared" si="2"/>
        <v>34.21425</v>
      </c>
      <c r="I10" s="44">
        <f t="shared" si="3"/>
        <v>279.5205</v>
      </c>
      <c r="J10" s="119">
        <v>100</v>
      </c>
      <c r="K10" s="45">
        <f t="shared" si="4"/>
        <v>2.795205</v>
      </c>
      <c r="L10" s="78">
        <f>L9</f>
        <v>3.5</v>
      </c>
      <c r="M10" s="45">
        <f t="shared" si="5"/>
        <v>0.7986300000000001</v>
      </c>
      <c r="N10" s="80">
        <f>N9</f>
        <v>0</v>
      </c>
      <c r="O10" s="45">
        <f t="shared" si="6"/>
        <v>0</v>
      </c>
    </row>
    <row r="11" spans="1:15" ht="14.25">
      <c r="A11" s="42" t="s">
        <v>80</v>
      </c>
      <c r="B11" s="115">
        <v>55</v>
      </c>
      <c r="C11" s="116">
        <v>10</v>
      </c>
      <c r="D11" s="117">
        <v>23150</v>
      </c>
      <c r="E11" s="133">
        <f>D11*0.31</f>
        <v>7176.5</v>
      </c>
      <c r="F11" s="43">
        <f t="shared" si="0"/>
        <v>1597.35</v>
      </c>
      <c r="G11" s="44">
        <f t="shared" si="1"/>
        <v>758.1625</v>
      </c>
      <c r="H11" s="44">
        <f t="shared" si="2"/>
        <v>212.2855</v>
      </c>
      <c r="I11" s="44">
        <f t="shared" si="3"/>
        <v>2567.798</v>
      </c>
      <c r="J11" s="119">
        <v>500</v>
      </c>
      <c r="K11" s="45">
        <f t="shared" si="4"/>
        <v>5.135596</v>
      </c>
      <c r="L11" s="116">
        <v>5.4</v>
      </c>
      <c r="M11" s="45">
        <f t="shared" si="5"/>
        <v>0.9510362962962962</v>
      </c>
      <c r="N11" s="120">
        <v>0</v>
      </c>
      <c r="O11" s="45">
        <f t="shared" si="6"/>
        <v>0</v>
      </c>
    </row>
    <row r="12" spans="1:15" ht="14.25">
      <c r="A12" s="115" t="s">
        <v>122</v>
      </c>
      <c r="B12" s="118"/>
      <c r="C12" s="116">
        <v>20</v>
      </c>
      <c r="D12" s="117">
        <v>6150</v>
      </c>
      <c r="E12" s="133">
        <f>D12*0.3</f>
        <v>1845</v>
      </c>
      <c r="F12" s="43">
        <f t="shared" si="0"/>
        <v>215.25</v>
      </c>
      <c r="G12" s="44">
        <f t="shared" si="1"/>
        <v>199.875</v>
      </c>
      <c r="H12" s="44">
        <f t="shared" si="2"/>
        <v>55.965</v>
      </c>
      <c r="I12" s="44">
        <f t="shared" si="3"/>
        <v>471.09000000000003</v>
      </c>
      <c r="J12" s="119">
        <v>100</v>
      </c>
      <c r="K12" s="45">
        <f t="shared" si="4"/>
        <v>4.7109000000000005</v>
      </c>
      <c r="L12" s="78">
        <f>L11</f>
        <v>5.4</v>
      </c>
      <c r="M12" s="45">
        <f t="shared" si="5"/>
        <v>0.8723888888888889</v>
      </c>
      <c r="N12" s="80">
        <f>N11</f>
        <v>0</v>
      </c>
      <c r="O12" s="45">
        <f t="shared" si="6"/>
        <v>0</v>
      </c>
    </row>
    <row r="13" spans="1:15" ht="14.25">
      <c r="A13" s="42" t="s">
        <v>80</v>
      </c>
      <c r="B13" s="115">
        <v>35</v>
      </c>
      <c r="C13" s="116">
        <v>10</v>
      </c>
      <c r="D13" s="117">
        <v>19075</v>
      </c>
      <c r="E13" s="133">
        <f>D13*0.31</f>
        <v>5913.25</v>
      </c>
      <c r="F13" s="43">
        <f t="shared" si="0"/>
        <v>1316.175</v>
      </c>
      <c r="G13" s="44">
        <f t="shared" si="1"/>
        <v>624.7062500000001</v>
      </c>
      <c r="H13" s="44">
        <f t="shared" si="2"/>
        <v>174.91775</v>
      </c>
      <c r="I13" s="44">
        <f t="shared" si="3"/>
        <v>2115.799</v>
      </c>
      <c r="J13" s="119">
        <v>500</v>
      </c>
      <c r="K13" s="45">
        <f t="shared" si="4"/>
        <v>4.231598</v>
      </c>
      <c r="L13" s="116">
        <v>5.4</v>
      </c>
      <c r="M13" s="45">
        <f t="shared" si="5"/>
        <v>0.7836292592592592</v>
      </c>
      <c r="N13" s="120">
        <v>0</v>
      </c>
      <c r="O13" s="45">
        <f t="shared" si="6"/>
        <v>0</v>
      </c>
    </row>
    <row r="14" spans="1:15" ht="14.25">
      <c r="A14" s="115" t="s">
        <v>121</v>
      </c>
      <c r="B14" s="118"/>
      <c r="C14" s="116">
        <v>20</v>
      </c>
      <c r="D14" s="117">
        <v>1500</v>
      </c>
      <c r="E14" s="133">
        <f>D14*0.3</f>
        <v>450</v>
      </c>
      <c r="F14" s="43">
        <f t="shared" si="0"/>
        <v>52.5</v>
      </c>
      <c r="G14" s="44">
        <f t="shared" si="1"/>
        <v>48.75</v>
      </c>
      <c r="H14" s="44">
        <f t="shared" si="2"/>
        <v>13.65</v>
      </c>
      <c r="I14" s="44">
        <f t="shared" si="3"/>
        <v>114.9</v>
      </c>
      <c r="J14" s="119">
        <v>100</v>
      </c>
      <c r="K14" s="45">
        <f t="shared" si="4"/>
        <v>1.149</v>
      </c>
      <c r="L14" s="78">
        <f>L13</f>
        <v>5.4</v>
      </c>
      <c r="M14" s="45">
        <f t="shared" si="5"/>
        <v>0.21277777777777776</v>
      </c>
      <c r="N14" s="80">
        <f>N13</f>
        <v>0</v>
      </c>
      <c r="O14" s="45">
        <f t="shared" si="6"/>
        <v>0</v>
      </c>
    </row>
    <row r="15" spans="1:14" ht="14.25">
      <c r="A15" s="26" t="s">
        <v>104</v>
      </c>
      <c r="B15" s="26"/>
      <c r="C15" s="39"/>
      <c r="D15" s="39"/>
      <c r="E15" s="39"/>
      <c r="F15" s="39"/>
      <c r="G15" s="41"/>
      <c r="H15" s="41"/>
      <c r="I15" s="41"/>
      <c r="J15" s="26"/>
      <c r="K15" s="26"/>
      <c r="L15" s="26"/>
      <c r="M15" s="26"/>
      <c r="N15" s="91"/>
    </row>
    <row r="16" spans="1:15" ht="14.25">
      <c r="A16" s="42" t="s">
        <v>80</v>
      </c>
      <c r="B16" s="121">
        <v>35</v>
      </c>
      <c r="C16" s="116">
        <v>10</v>
      </c>
      <c r="D16" s="117">
        <v>19075</v>
      </c>
      <c r="E16" s="133">
        <f>D16*0.31</f>
        <v>5913.25</v>
      </c>
      <c r="F16" s="43">
        <f>+(D16-E16)/C16</f>
        <v>1316.175</v>
      </c>
      <c r="G16" s="44">
        <f>+((D16+E16)/2)*$G$7</f>
        <v>624.7062500000001</v>
      </c>
      <c r="H16" s="44">
        <f>((D16+E16)/2)*$H$7</f>
        <v>174.91775</v>
      </c>
      <c r="I16" s="44">
        <f>SUM(F16:H16)</f>
        <v>2115.799</v>
      </c>
      <c r="J16" s="119">
        <v>500</v>
      </c>
      <c r="K16" s="45">
        <f>IF(J16=0,0,I16/J16)</f>
        <v>4.231598</v>
      </c>
      <c r="L16" s="116">
        <v>11.1</v>
      </c>
      <c r="M16" s="45">
        <f>IF(K16&gt;0,K16/L16,0)</f>
        <v>0.38122504504504506</v>
      </c>
      <c r="N16" s="120">
        <v>1</v>
      </c>
      <c r="O16" s="45">
        <f>M16*N16</f>
        <v>0.38122504504504506</v>
      </c>
    </row>
    <row r="17" spans="1:15" ht="14.25">
      <c r="A17" s="115" t="s">
        <v>105</v>
      </c>
      <c r="B17" s="118"/>
      <c r="C17" s="116">
        <v>15</v>
      </c>
      <c r="D17" s="117">
        <v>2350</v>
      </c>
      <c r="E17" s="133">
        <f>D17*0.4</f>
        <v>940</v>
      </c>
      <c r="F17" s="43">
        <f>+(D17-E17)/C17</f>
        <v>94</v>
      </c>
      <c r="G17" s="44">
        <f>+((D17+E17)/2)*$G$7</f>
        <v>82.25</v>
      </c>
      <c r="H17" s="44">
        <f>((D17+E17)/2)*$H$7</f>
        <v>23.03</v>
      </c>
      <c r="I17" s="44">
        <f>SUM(F17:H17)</f>
        <v>199.28</v>
      </c>
      <c r="J17" s="119">
        <v>80</v>
      </c>
      <c r="K17" s="45">
        <f>IF(J17=0,0,I17/J17)</f>
        <v>2.491</v>
      </c>
      <c r="L17" s="47">
        <f>L16</f>
        <v>11.1</v>
      </c>
      <c r="M17" s="45">
        <f>IF(K17&gt;0,K17/L17,0)</f>
        <v>0.22441441441441443</v>
      </c>
      <c r="N17" s="80">
        <f>N16</f>
        <v>1</v>
      </c>
      <c r="O17" s="45">
        <f>M17*N17</f>
        <v>0.22441441441441443</v>
      </c>
    </row>
    <row r="18" spans="1:15" ht="14.25">
      <c r="A18" s="27" t="s">
        <v>106</v>
      </c>
      <c r="B18" s="27"/>
      <c r="C18" s="86"/>
      <c r="D18" s="92"/>
      <c r="E18" s="92"/>
      <c r="F18" s="92"/>
      <c r="G18" s="44"/>
      <c r="H18" s="44"/>
      <c r="I18" s="92"/>
      <c r="J18" s="92"/>
      <c r="K18" s="46"/>
      <c r="L18" s="47"/>
      <c r="M18" s="45"/>
      <c r="N18" s="93"/>
      <c r="O18" s="26"/>
    </row>
    <row r="19" spans="1:15" ht="14.25">
      <c r="A19" s="42" t="s">
        <v>80</v>
      </c>
      <c r="B19" s="115">
        <v>55</v>
      </c>
      <c r="C19" s="116">
        <v>10</v>
      </c>
      <c r="D19" s="117">
        <v>23150</v>
      </c>
      <c r="E19" s="133">
        <f>D19*0.31</f>
        <v>7176.5</v>
      </c>
      <c r="F19" s="43">
        <f>+(D19-E19)/C19</f>
        <v>1597.35</v>
      </c>
      <c r="G19" s="44">
        <f>+((D19+E19)/2)*$G$7</f>
        <v>758.1625</v>
      </c>
      <c r="H19" s="44">
        <f>((D19+E19)/2)*$H$7</f>
        <v>212.2855</v>
      </c>
      <c r="I19" s="44">
        <f>SUM(F19:H19)</f>
        <v>2567.798</v>
      </c>
      <c r="J19" s="119">
        <v>500</v>
      </c>
      <c r="K19" s="45">
        <f>IF(J19=0,0,I19/J19)</f>
        <v>5.135596</v>
      </c>
      <c r="L19" s="116">
        <v>3.8</v>
      </c>
      <c r="M19" s="45">
        <f>IF(K19&gt;0,K19/L19,0)</f>
        <v>1.3514726315789474</v>
      </c>
      <c r="N19" s="120">
        <v>1</v>
      </c>
      <c r="O19" s="45">
        <f>M19*N19</f>
        <v>1.3514726315789474</v>
      </c>
    </row>
    <row r="20" spans="1:15" ht="14.25">
      <c r="A20" s="115" t="s">
        <v>128</v>
      </c>
      <c r="B20" s="118"/>
      <c r="C20" s="116">
        <v>12</v>
      </c>
      <c r="D20" s="117">
        <v>15850</v>
      </c>
      <c r="E20" s="133">
        <f>D20*0.4</f>
        <v>6340</v>
      </c>
      <c r="F20" s="43">
        <f>+(D20-E20)/C20</f>
        <v>792.5</v>
      </c>
      <c r="G20" s="44">
        <f>+((D20+E20)/2)*$G$7</f>
        <v>554.75</v>
      </c>
      <c r="H20" s="44">
        <f>((D20+E20)/2)*$H$7</f>
        <v>155.33</v>
      </c>
      <c r="I20" s="44">
        <f>SUM(F20:H20)</f>
        <v>1502.58</v>
      </c>
      <c r="J20" s="119">
        <v>100</v>
      </c>
      <c r="K20" s="45">
        <f>IF(J20=0,0,I20/J20)</f>
        <v>15.025799999999998</v>
      </c>
      <c r="L20" s="47">
        <f>L19</f>
        <v>3.8</v>
      </c>
      <c r="M20" s="45">
        <f>IF(K20&gt;0,K20/L20,0)</f>
        <v>3.954157894736842</v>
      </c>
      <c r="N20" s="80">
        <f>N19</f>
        <v>1</v>
      </c>
      <c r="O20" s="45">
        <f>M20*N20</f>
        <v>3.954157894736842</v>
      </c>
    </row>
    <row r="21" spans="1:15" ht="14.25">
      <c r="A21" s="26" t="s">
        <v>81</v>
      </c>
      <c r="B21" s="26"/>
      <c r="C21" s="47"/>
      <c r="D21" s="43"/>
      <c r="E21" s="43"/>
      <c r="F21" s="43"/>
      <c r="G21" s="44"/>
      <c r="H21" s="44"/>
      <c r="I21" s="43"/>
      <c r="J21" s="49"/>
      <c r="K21" s="46"/>
      <c r="L21" s="47"/>
      <c r="M21" s="45"/>
      <c r="N21" s="39"/>
      <c r="O21" s="26"/>
    </row>
    <row r="22" spans="1:15" ht="13.5" customHeight="1">
      <c r="A22" s="48" t="s">
        <v>49</v>
      </c>
      <c r="B22" s="121">
        <v>55</v>
      </c>
      <c r="C22" s="116">
        <v>10</v>
      </c>
      <c r="D22" s="117">
        <v>23150</v>
      </c>
      <c r="E22" s="133">
        <f>D22*0.31</f>
        <v>7176.5</v>
      </c>
      <c r="F22" s="43">
        <f>+(D22-E22)/C22</f>
        <v>1597.35</v>
      </c>
      <c r="G22" s="44">
        <f>+((D22+E22)/2)*$G$7</f>
        <v>758.1625</v>
      </c>
      <c r="H22" s="44">
        <f>((D22+E22)/2)*$H$7</f>
        <v>212.2855</v>
      </c>
      <c r="I22" s="44">
        <f>SUM(F22:H22)</f>
        <v>2567.798</v>
      </c>
      <c r="J22" s="119">
        <v>500</v>
      </c>
      <c r="K22" s="45">
        <f>IF(J22=0,0,I22/J22)</f>
        <v>5.135596</v>
      </c>
      <c r="L22" s="116">
        <v>3.7</v>
      </c>
      <c r="M22" s="45">
        <f>IF(K22&gt;0,K22/L22,0)</f>
        <v>1.3879989189189188</v>
      </c>
      <c r="N22" s="120">
        <v>1</v>
      </c>
      <c r="O22" s="45">
        <f>M22*N22</f>
        <v>1.3879989189189188</v>
      </c>
    </row>
    <row r="23" spans="1:15" ht="13.5" customHeight="1">
      <c r="A23" s="115" t="s">
        <v>85</v>
      </c>
      <c r="B23" s="118"/>
      <c r="C23" s="116">
        <v>10</v>
      </c>
      <c r="D23" s="117">
        <v>4225</v>
      </c>
      <c r="E23" s="133">
        <f>D23*0.3</f>
        <v>1267.5</v>
      </c>
      <c r="F23" s="43">
        <f>+(D23-E23)/C23</f>
        <v>295.75</v>
      </c>
      <c r="G23" s="44">
        <f>+((D23+E23)/2)*$G$7</f>
        <v>137.3125</v>
      </c>
      <c r="H23" s="44">
        <f>((D23+E23)/2)*$H$7</f>
        <v>38.4475</v>
      </c>
      <c r="I23" s="44">
        <f>SUM(F23:H23)</f>
        <v>471.51</v>
      </c>
      <c r="J23" s="119">
        <v>100</v>
      </c>
      <c r="K23" s="45">
        <f>IF(J23=0,0,I23/J23)</f>
        <v>4.7151</v>
      </c>
      <c r="L23" s="47">
        <f>L22</f>
        <v>3.7</v>
      </c>
      <c r="M23" s="45">
        <f>IF(K23&gt;0,K23/L23,0)</f>
        <v>1.2743513513513511</v>
      </c>
      <c r="N23" s="80">
        <f>N22</f>
        <v>1</v>
      </c>
      <c r="O23" s="45">
        <f>M23*N23</f>
        <v>1.2743513513513511</v>
      </c>
    </row>
    <row r="24" spans="1:15" ht="14.25">
      <c r="A24" s="82" t="s">
        <v>82</v>
      </c>
      <c r="B24" s="82"/>
      <c r="C24" s="83"/>
      <c r="D24" s="81"/>
      <c r="E24" s="81"/>
      <c r="F24" s="81"/>
      <c r="G24" s="81"/>
      <c r="H24" s="81"/>
      <c r="I24" s="81"/>
      <c r="J24" s="79"/>
      <c r="K24" s="46"/>
      <c r="L24" s="47"/>
      <c r="M24" s="46"/>
      <c r="N24" s="80"/>
      <c r="O24" s="46"/>
    </row>
    <row r="25" spans="1:15" ht="14.25">
      <c r="A25" s="122" t="s">
        <v>83</v>
      </c>
      <c r="B25" s="123"/>
      <c r="C25" s="124">
        <v>10</v>
      </c>
      <c r="D25" s="125">
        <v>30225</v>
      </c>
      <c r="E25" s="134">
        <f>D25*0.26</f>
        <v>7858.5</v>
      </c>
      <c r="F25" s="81">
        <f>+(D25-E25)/C25</f>
        <v>2236.65</v>
      </c>
      <c r="G25" s="44">
        <f>+((D25+E25)/2)*$G$7</f>
        <v>952.0875000000001</v>
      </c>
      <c r="H25" s="146">
        <f>((D25+E25)/2)*$H$7</f>
        <v>266.5845</v>
      </c>
      <c r="I25" s="58">
        <f>SUM(F25:H25)</f>
        <v>3455.322</v>
      </c>
      <c r="J25" s="119">
        <v>500</v>
      </c>
      <c r="K25" s="45">
        <f>IF(J25=0,0,I25/J25)</f>
        <v>6.9106440000000005</v>
      </c>
      <c r="L25" s="116">
        <v>10</v>
      </c>
      <c r="M25" s="45">
        <f>IF(K25&gt;0,K25/L25,0)</f>
        <v>0.6910644</v>
      </c>
      <c r="N25" s="120">
        <v>4</v>
      </c>
      <c r="O25" s="45">
        <f>M25*N25</f>
        <v>2.7642576</v>
      </c>
    </row>
    <row r="26" spans="1:15" ht="20.25" customHeight="1">
      <c r="A26" s="89" t="s">
        <v>125</v>
      </c>
      <c r="B26" s="89"/>
      <c r="C26" s="89"/>
      <c r="D26" s="90"/>
      <c r="E26" s="90"/>
      <c r="F26" s="90"/>
      <c r="G26" s="90"/>
      <c r="H26" s="90"/>
      <c r="I26" s="90"/>
      <c r="J26" s="90"/>
      <c r="K26" s="94"/>
      <c r="L26" s="90"/>
      <c r="M26" s="95"/>
      <c r="N26" s="95"/>
      <c r="O26" s="105">
        <f>SUM(O9:O25)</f>
        <v>11.33787785604552</v>
      </c>
    </row>
    <row r="27" spans="1:13" ht="16.5" customHeight="1">
      <c r="A27" s="51" t="s">
        <v>51</v>
      </c>
      <c r="B27" s="51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</row>
    <row r="28" spans="1:13" ht="16.5">
      <c r="A28" s="52" t="s">
        <v>52</v>
      </c>
      <c r="B28" s="52"/>
      <c r="C28" s="26"/>
      <c r="D28" s="26"/>
      <c r="E28" s="26"/>
      <c r="F28" s="26"/>
      <c r="G28" s="26"/>
      <c r="H28" s="26"/>
      <c r="I28" s="26"/>
      <c r="J28" s="26"/>
      <c r="K28" s="26"/>
      <c r="L28" s="26"/>
      <c r="M28" s="26"/>
    </row>
    <row r="29" spans="1:13" ht="16.5">
      <c r="A29" s="52" t="s">
        <v>53</v>
      </c>
      <c r="B29" s="52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</row>
    <row r="30" spans="1:13" ht="16.5">
      <c r="A30" s="53" t="s">
        <v>54</v>
      </c>
      <c r="B30" s="53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</row>
    <row r="31" spans="1:13" ht="16.5">
      <c r="A31" s="53" t="s">
        <v>55</v>
      </c>
      <c r="B31" s="53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</row>
    <row r="32" spans="1:13" ht="16.5">
      <c r="A32" s="53"/>
      <c r="B32" s="53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</row>
    <row r="33" spans="1:13" ht="16.5">
      <c r="A33" s="54"/>
      <c r="B33" s="54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</row>
    <row r="34" spans="1:13" ht="18" customHeight="1">
      <c r="A34" s="30" t="s">
        <v>56</v>
      </c>
      <c r="B34" s="30"/>
      <c r="C34" s="31"/>
      <c r="D34" s="31"/>
      <c r="E34" s="31"/>
      <c r="F34" s="31"/>
      <c r="G34" s="31"/>
      <c r="H34" s="26"/>
      <c r="I34" s="26"/>
      <c r="J34" s="26"/>
      <c r="K34" s="26"/>
      <c r="L34" s="26"/>
      <c r="M34" s="26"/>
    </row>
    <row r="35" spans="1:15" ht="15">
      <c r="A35" s="32" t="s">
        <v>26</v>
      </c>
      <c r="B35" s="33"/>
      <c r="C35" s="33" t="s">
        <v>57</v>
      </c>
      <c r="D35" s="33" t="s">
        <v>57</v>
      </c>
      <c r="E35" s="33" t="s">
        <v>57</v>
      </c>
      <c r="F35" s="33" t="s">
        <v>58</v>
      </c>
      <c r="G35" s="33" t="s">
        <v>39</v>
      </c>
      <c r="H35" s="33" t="s">
        <v>86</v>
      </c>
      <c r="I35" s="33" t="s">
        <v>38</v>
      </c>
      <c r="J35" s="35" t="s">
        <v>35</v>
      </c>
      <c r="K35" s="33" t="s">
        <v>37</v>
      </c>
      <c r="L35" s="35" t="s">
        <v>59</v>
      </c>
      <c r="M35" s="35" t="s">
        <v>60</v>
      </c>
      <c r="N35" s="35" t="s">
        <v>60</v>
      </c>
      <c r="O35" s="35" t="s">
        <v>38</v>
      </c>
    </row>
    <row r="36" spans="1:15" ht="17.25">
      <c r="A36" s="36"/>
      <c r="B36" s="36"/>
      <c r="C36" s="37" t="s">
        <v>61</v>
      </c>
      <c r="D36" s="36" t="s">
        <v>62</v>
      </c>
      <c r="E36" s="36" t="s">
        <v>63</v>
      </c>
      <c r="F36" s="36" t="s">
        <v>42</v>
      </c>
      <c r="G36" s="36" t="s">
        <v>64</v>
      </c>
      <c r="H36" s="36" t="s">
        <v>87</v>
      </c>
      <c r="I36" s="36" t="s">
        <v>39</v>
      </c>
      <c r="J36" s="38" t="s">
        <v>43</v>
      </c>
      <c r="K36" s="36" t="s">
        <v>65</v>
      </c>
      <c r="L36" s="38" t="s">
        <v>90</v>
      </c>
      <c r="M36" s="38" t="s">
        <v>39</v>
      </c>
      <c r="N36" s="38" t="s">
        <v>91</v>
      </c>
      <c r="O36" s="38" t="s">
        <v>36</v>
      </c>
    </row>
    <row r="37" spans="1:15" ht="14.25">
      <c r="A37" s="31"/>
      <c r="B37" s="31"/>
      <c r="C37" s="39" t="s">
        <v>66</v>
      </c>
      <c r="D37" s="39" t="s">
        <v>67</v>
      </c>
      <c r="E37" s="39" t="s">
        <v>68</v>
      </c>
      <c r="F37" s="39" t="s">
        <v>69</v>
      </c>
      <c r="G37" s="39" t="s">
        <v>24</v>
      </c>
      <c r="H37" s="39" t="s">
        <v>68</v>
      </c>
      <c r="I37" s="39" t="s">
        <v>68</v>
      </c>
      <c r="J37" s="39" t="s">
        <v>47</v>
      </c>
      <c r="K37" s="40" t="s">
        <v>47</v>
      </c>
      <c r="L37" s="39" t="s">
        <v>48</v>
      </c>
      <c r="M37" s="39" t="s">
        <v>68</v>
      </c>
      <c r="N37" s="39" t="s">
        <v>48</v>
      </c>
      <c r="O37" s="39" t="s">
        <v>48</v>
      </c>
    </row>
    <row r="38" spans="1:15" ht="14.25">
      <c r="A38" s="26" t="s">
        <v>84</v>
      </c>
      <c r="B38" s="26"/>
      <c r="F38" s="39"/>
      <c r="G38" s="127">
        <v>3.45</v>
      </c>
      <c r="H38" s="41"/>
      <c r="I38" s="41"/>
      <c r="J38" s="26"/>
      <c r="K38" s="26"/>
      <c r="L38" s="26"/>
      <c r="M38" s="126">
        <v>12</v>
      </c>
      <c r="N38" s="26"/>
      <c r="O38" s="26"/>
    </row>
    <row r="39" spans="1:15" ht="14.25">
      <c r="A39" s="26" t="str">
        <f>A9</f>
        <v>  Tractor, HP=</v>
      </c>
      <c r="B39" s="26">
        <f>B9</f>
        <v>55</v>
      </c>
      <c r="C39" s="128">
        <v>0.02</v>
      </c>
      <c r="D39" s="44">
        <f aca="true" t="shared" si="7" ref="D39:D44">D9*C39</f>
        <v>463</v>
      </c>
      <c r="E39" s="55">
        <f aca="true" t="shared" si="8" ref="E39:E44">IF(D39&gt;0,D39/J9,0)</f>
        <v>0.926</v>
      </c>
      <c r="F39" s="49">
        <f>B39*0.044</f>
        <v>2.42</v>
      </c>
      <c r="G39" s="56">
        <f>$G$38</f>
        <v>3.45</v>
      </c>
      <c r="H39" s="55">
        <f>(F39*G39)*1.15</f>
        <v>9.60135</v>
      </c>
      <c r="I39" s="55">
        <f aca="true" t="shared" si="9" ref="I39:I51">E39+H39</f>
        <v>10.52735</v>
      </c>
      <c r="J39" s="84">
        <f aca="true" t="shared" si="10" ref="J39:J44">L9</f>
        <v>3.5</v>
      </c>
      <c r="K39" s="39">
        <f aca="true" t="shared" si="11" ref="K39:K44">N9</f>
        <v>0</v>
      </c>
      <c r="L39" s="45">
        <f>IF(J39&gt;0,(I39/J39)*K39*1.1,0)</f>
        <v>0</v>
      </c>
      <c r="M39" s="99">
        <f>$M$38</f>
        <v>12</v>
      </c>
      <c r="N39" s="45">
        <f>IF(J39&gt;0,(M38/J39)*K39*1.15,0)</f>
        <v>0</v>
      </c>
      <c r="O39" s="45">
        <f aca="true" t="shared" si="12" ref="O39:O51">L39+N39</f>
        <v>0</v>
      </c>
    </row>
    <row r="40" spans="1:15" ht="14.25">
      <c r="A40" s="26" t="str">
        <f>A10</f>
        <v>  + Chisel plow</v>
      </c>
      <c r="B40" s="26"/>
      <c r="C40" s="128">
        <v>0.03</v>
      </c>
      <c r="D40" s="44">
        <f t="shared" si="7"/>
        <v>110.25</v>
      </c>
      <c r="E40" s="55">
        <f t="shared" si="8"/>
        <v>1.1025</v>
      </c>
      <c r="F40" s="49">
        <v>0</v>
      </c>
      <c r="G40" s="56">
        <v>0</v>
      </c>
      <c r="H40" s="55">
        <f>F40*G40</f>
        <v>0</v>
      </c>
      <c r="I40" s="55">
        <f t="shared" si="9"/>
        <v>1.1025</v>
      </c>
      <c r="J40" s="84">
        <f t="shared" si="10"/>
        <v>3.5</v>
      </c>
      <c r="K40" s="39">
        <f t="shared" si="11"/>
        <v>0</v>
      </c>
      <c r="L40" s="45">
        <f>IF(J40&gt;0,(I40/J40)*K40,0)</f>
        <v>0</v>
      </c>
      <c r="M40" s="57"/>
      <c r="N40" s="57"/>
      <c r="O40" s="45">
        <f t="shared" si="12"/>
        <v>0</v>
      </c>
    </row>
    <row r="41" spans="1:15" ht="14.25">
      <c r="A41" s="26" t="str">
        <f>A11</f>
        <v>  Tractor, HP=</v>
      </c>
      <c r="B41" s="26">
        <f>B11</f>
        <v>55</v>
      </c>
      <c r="C41" s="128">
        <v>0.02</v>
      </c>
      <c r="D41" s="44">
        <f t="shared" si="7"/>
        <v>463</v>
      </c>
      <c r="E41" s="55">
        <f t="shared" si="8"/>
        <v>0.926</v>
      </c>
      <c r="F41" s="49">
        <f>B41*0.044</f>
        <v>2.42</v>
      </c>
      <c r="G41" s="56">
        <f>$G$38</f>
        <v>3.45</v>
      </c>
      <c r="H41" s="55">
        <f>(F41*G41)*1.15</f>
        <v>9.60135</v>
      </c>
      <c r="I41" s="55">
        <f>E41+H41</f>
        <v>10.52735</v>
      </c>
      <c r="J41" s="84">
        <f t="shared" si="10"/>
        <v>5.4</v>
      </c>
      <c r="K41" s="39">
        <f t="shared" si="11"/>
        <v>0</v>
      </c>
      <c r="L41" s="45">
        <f>IF(J41&gt;0,(I41/J41)*K41*1.1,0)</f>
        <v>0</v>
      </c>
      <c r="M41" s="99">
        <f>$M$38</f>
        <v>12</v>
      </c>
      <c r="N41" s="45">
        <f>IF(J41&gt;0,(M40/J41)*K41*1.15,0)</f>
        <v>0</v>
      </c>
      <c r="O41" s="45">
        <f>L41+N41</f>
        <v>0</v>
      </c>
    </row>
    <row r="42" spans="1:15" ht="14.25">
      <c r="A42" s="26" t="str">
        <f>A12</f>
        <v>  + Disc</v>
      </c>
      <c r="B42" s="26"/>
      <c r="C42" s="128">
        <v>0.02</v>
      </c>
      <c r="D42" s="44">
        <f t="shared" si="7"/>
        <v>123</v>
      </c>
      <c r="E42" s="55">
        <f t="shared" si="8"/>
        <v>1.23</v>
      </c>
      <c r="F42" s="49">
        <v>0</v>
      </c>
      <c r="G42" s="56">
        <v>0</v>
      </c>
      <c r="H42" s="55">
        <f>F42*G42</f>
        <v>0</v>
      </c>
      <c r="I42" s="55">
        <f>E42+H42</f>
        <v>1.23</v>
      </c>
      <c r="J42" s="84">
        <f t="shared" si="10"/>
        <v>5.4</v>
      </c>
      <c r="K42" s="39">
        <f t="shared" si="11"/>
        <v>0</v>
      </c>
      <c r="L42" s="45">
        <f>IF(J42&gt;0,(I42/J42)*K42,0)</f>
        <v>0</v>
      </c>
      <c r="M42" s="57"/>
      <c r="N42" s="57"/>
      <c r="O42" s="45">
        <f>L42+N42</f>
        <v>0</v>
      </c>
    </row>
    <row r="43" spans="1:15" ht="14.25">
      <c r="A43" s="26" t="str">
        <f>A13</f>
        <v>  Tractor, HP=</v>
      </c>
      <c r="B43" s="26">
        <f>B13</f>
        <v>35</v>
      </c>
      <c r="C43" s="128">
        <v>0.02</v>
      </c>
      <c r="D43" s="44">
        <f t="shared" si="7"/>
        <v>381.5</v>
      </c>
      <c r="E43" s="55">
        <f t="shared" si="8"/>
        <v>0.763</v>
      </c>
      <c r="F43" s="49">
        <f>B43*0.044</f>
        <v>1.5399999999999998</v>
      </c>
      <c r="G43" s="56">
        <f>$G$38</f>
        <v>3.45</v>
      </c>
      <c r="H43" s="55">
        <f>(F43*G43)*1.15</f>
        <v>6.1099499999999995</v>
      </c>
      <c r="I43" s="55">
        <f>E43+H43</f>
        <v>6.8729499999999994</v>
      </c>
      <c r="J43" s="84">
        <f t="shared" si="10"/>
        <v>5.4</v>
      </c>
      <c r="K43" s="39">
        <f t="shared" si="11"/>
        <v>0</v>
      </c>
      <c r="L43" s="45">
        <f>IF(J43&gt;0,(I43/J43)*K43*1.1,0)</f>
        <v>0</v>
      </c>
      <c r="M43" s="99">
        <f>$M$38</f>
        <v>12</v>
      </c>
      <c r="N43" s="45">
        <f>IF(J43&gt;0,(M42/J43)*K43*1.15,0)</f>
        <v>0</v>
      </c>
      <c r="O43" s="45">
        <f>L43+N43</f>
        <v>0</v>
      </c>
    </row>
    <row r="44" spans="1:15" ht="14.25">
      <c r="A44" s="26" t="str">
        <f>A14</f>
        <v>  + Harrow</v>
      </c>
      <c r="B44" s="26"/>
      <c r="C44" s="128">
        <v>0.03</v>
      </c>
      <c r="D44" s="44">
        <f t="shared" si="7"/>
        <v>45</v>
      </c>
      <c r="E44" s="55">
        <f t="shared" si="8"/>
        <v>0.45</v>
      </c>
      <c r="F44" s="49">
        <v>0</v>
      </c>
      <c r="G44" s="56">
        <v>0</v>
      </c>
      <c r="H44" s="55">
        <f>F44*G44</f>
        <v>0</v>
      </c>
      <c r="I44" s="55">
        <f>E44+H44</f>
        <v>0.45</v>
      </c>
      <c r="J44" s="84">
        <f t="shared" si="10"/>
        <v>5.4</v>
      </c>
      <c r="K44" s="39">
        <f t="shared" si="11"/>
        <v>0</v>
      </c>
      <c r="L44" s="45">
        <f>IF(J44&gt;0,(I44/J44)*K44,0)</f>
        <v>0</v>
      </c>
      <c r="M44" s="57"/>
      <c r="N44" s="57"/>
      <c r="O44" s="45">
        <f>L44+N44</f>
        <v>0</v>
      </c>
    </row>
    <row r="45" spans="1:15" ht="14.25">
      <c r="A45" s="26" t="str">
        <f>A16</f>
        <v>  Tractor, HP=</v>
      </c>
      <c r="B45" s="26">
        <f>B16</f>
        <v>35</v>
      </c>
      <c r="C45" s="128">
        <v>0.02</v>
      </c>
      <c r="D45" s="44">
        <f>D16*C45</f>
        <v>381.5</v>
      </c>
      <c r="E45" s="55">
        <f>IF(D45&gt;0,D45/J16,0)</f>
        <v>0.763</v>
      </c>
      <c r="F45" s="49">
        <f>B45*0.044</f>
        <v>1.5399999999999998</v>
      </c>
      <c r="G45" s="56">
        <f>$G$38</f>
        <v>3.45</v>
      </c>
      <c r="H45" s="55">
        <f>(F45*G45)*1.15</f>
        <v>6.1099499999999995</v>
      </c>
      <c r="I45" s="55">
        <f t="shared" si="9"/>
        <v>6.8729499999999994</v>
      </c>
      <c r="J45" s="84">
        <f>L16</f>
        <v>11.1</v>
      </c>
      <c r="K45" s="39">
        <f>N16</f>
        <v>1</v>
      </c>
      <c r="L45" s="45">
        <f>IF(J45&gt;0,(I45/J45)*K45*1.1,0)</f>
        <v>0.6811031531531532</v>
      </c>
      <c r="M45" s="99">
        <f>$M$38</f>
        <v>12</v>
      </c>
      <c r="N45" s="45">
        <f>IF(J45&gt;0,(M45/J45)*K45*1.15,0)</f>
        <v>1.2432432432432432</v>
      </c>
      <c r="O45" s="45">
        <f t="shared" si="12"/>
        <v>1.9243463963963965</v>
      </c>
    </row>
    <row r="46" spans="1:15" ht="14.25">
      <c r="A46" s="26" t="str">
        <f>A17</f>
        <v>  + Sprayer</v>
      </c>
      <c r="B46" s="26"/>
      <c r="C46" s="128">
        <v>0.03</v>
      </c>
      <c r="D46" s="44">
        <f>D17*C46</f>
        <v>70.5</v>
      </c>
      <c r="E46" s="55">
        <f>IF(D46&gt;0,D46/J17,0)</f>
        <v>0.88125</v>
      </c>
      <c r="F46" s="49">
        <v>0</v>
      </c>
      <c r="G46" s="56">
        <v>0</v>
      </c>
      <c r="H46" s="55">
        <f>F46*G46</f>
        <v>0</v>
      </c>
      <c r="I46" s="55">
        <f t="shared" si="9"/>
        <v>0.88125</v>
      </c>
      <c r="J46" s="84">
        <f>L17</f>
        <v>11.1</v>
      </c>
      <c r="K46" s="39">
        <f>N17</f>
        <v>1</v>
      </c>
      <c r="L46" s="45">
        <f>IF(J46&gt;0,(I46/J46)*K46,0)</f>
        <v>0.07939189189189189</v>
      </c>
      <c r="M46" s="57"/>
      <c r="N46" s="57"/>
      <c r="O46" s="45">
        <f t="shared" si="12"/>
        <v>0.07939189189189189</v>
      </c>
    </row>
    <row r="47" spans="1:15" ht="14.25">
      <c r="A47" s="26" t="str">
        <f>A19</f>
        <v>  Tractor, HP=</v>
      </c>
      <c r="B47" s="26">
        <f>B19</f>
        <v>55</v>
      </c>
      <c r="C47" s="128">
        <v>0.02</v>
      </c>
      <c r="D47" s="44">
        <f>D19*C47</f>
        <v>463</v>
      </c>
      <c r="E47" s="55">
        <f>IF(D47&gt;0,D47/J19,0)</f>
        <v>0.926</v>
      </c>
      <c r="F47" s="49">
        <f>B47*0.044</f>
        <v>2.42</v>
      </c>
      <c r="G47" s="56">
        <f>$G$38</f>
        <v>3.45</v>
      </c>
      <c r="H47" s="55">
        <f>(F47*G47)*1.15</f>
        <v>9.60135</v>
      </c>
      <c r="I47" s="55">
        <f t="shared" si="9"/>
        <v>10.52735</v>
      </c>
      <c r="J47" s="84">
        <f>L19</f>
        <v>3.8</v>
      </c>
      <c r="K47" s="39">
        <f>N19</f>
        <v>1</v>
      </c>
      <c r="L47" s="45">
        <f>IF(J47&gt;0,(I47/J47)*K47*1.1,0)</f>
        <v>3.0473907894736847</v>
      </c>
      <c r="M47" s="99">
        <f>$M$38</f>
        <v>12</v>
      </c>
      <c r="N47" s="45">
        <f>IF(J47&gt;0,(M47/J47)*K47*1.15,0)</f>
        <v>3.631578947368421</v>
      </c>
      <c r="O47" s="45">
        <f t="shared" si="12"/>
        <v>6.678969736842106</v>
      </c>
    </row>
    <row r="48" spans="1:15" ht="14.25">
      <c r="A48" s="26" t="str">
        <f>A20</f>
        <v>  + No-till Drill</v>
      </c>
      <c r="B48" s="26"/>
      <c r="C48" s="128">
        <v>0.01</v>
      </c>
      <c r="D48" s="44">
        <f>D20*C48</f>
        <v>158.5</v>
      </c>
      <c r="E48" s="55">
        <f>IF(D48&gt;0,D48/J20,0)</f>
        <v>1.585</v>
      </c>
      <c r="F48" s="49">
        <v>0</v>
      </c>
      <c r="G48" s="56">
        <v>0</v>
      </c>
      <c r="H48" s="55">
        <f>F48*G48</f>
        <v>0</v>
      </c>
      <c r="I48" s="55">
        <f t="shared" si="9"/>
        <v>1.585</v>
      </c>
      <c r="J48" s="84">
        <f>L20</f>
        <v>3.8</v>
      </c>
      <c r="K48" s="39">
        <f>N20</f>
        <v>1</v>
      </c>
      <c r="L48" s="45">
        <f>IF(J48&gt;0,(I48/J48)*K48,0)</f>
        <v>0.41710526315789476</v>
      </c>
      <c r="M48" s="57"/>
      <c r="N48" s="57"/>
      <c r="O48" s="45">
        <f t="shared" si="12"/>
        <v>0.41710526315789476</v>
      </c>
    </row>
    <row r="49" spans="1:15" ht="14.25">
      <c r="A49" s="26" t="str">
        <f>A22</f>
        <v>  Tractor</v>
      </c>
      <c r="B49" s="26">
        <f>B22</f>
        <v>55</v>
      </c>
      <c r="C49" s="128">
        <v>0.02</v>
      </c>
      <c r="D49" s="44">
        <f>D22*C49</f>
        <v>463</v>
      </c>
      <c r="E49" s="55">
        <f>IF(D49&gt;0,D49/J22,0)</f>
        <v>0.926</v>
      </c>
      <c r="F49" s="49">
        <f>B49*0.044</f>
        <v>2.42</v>
      </c>
      <c r="G49" s="56">
        <f>$G$38</f>
        <v>3.45</v>
      </c>
      <c r="H49" s="55">
        <f>(F49*G49)*1.15</f>
        <v>9.60135</v>
      </c>
      <c r="I49" s="55">
        <f t="shared" si="9"/>
        <v>10.52735</v>
      </c>
      <c r="J49" s="84">
        <f>L22</f>
        <v>3.7</v>
      </c>
      <c r="K49" s="39">
        <f>N22</f>
        <v>1</v>
      </c>
      <c r="L49" s="45">
        <f>IF(J49&gt;0,(I49/J49)*K49*1.1,0)</f>
        <v>3.129752702702703</v>
      </c>
      <c r="M49" s="99">
        <f>$M$38</f>
        <v>12</v>
      </c>
      <c r="N49" s="45">
        <f>IF(J49&gt;0,(M49/J49)*K49*1.15,0)</f>
        <v>3.729729729729729</v>
      </c>
      <c r="O49" s="45">
        <f t="shared" si="12"/>
        <v>6.859482432432432</v>
      </c>
    </row>
    <row r="50" spans="1:15" ht="15" customHeight="1">
      <c r="A50" s="26" t="str">
        <f>A23</f>
        <v>  + Bushhog</v>
      </c>
      <c r="B50" s="26"/>
      <c r="C50" s="128">
        <v>0.01</v>
      </c>
      <c r="D50" s="44">
        <f>D23*C50</f>
        <v>42.25</v>
      </c>
      <c r="E50" s="55">
        <f>IF(D50&gt;0,D50/J23,0)</f>
        <v>0.4225</v>
      </c>
      <c r="F50" s="49">
        <v>0</v>
      </c>
      <c r="G50" s="56">
        <v>0</v>
      </c>
      <c r="H50" s="55">
        <v>0</v>
      </c>
      <c r="I50" s="55">
        <f t="shared" si="9"/>
        <v>0.4225</v>
      </c>
      <c r="J50" s="84">
        <f>L23</f>
        <v>3.7</v>
      </c>
      <c r="K50" s="39">
        <f>N23</f>
        <v>1</v>
      </c>
      <c r="L50" s="45">
        <f>IF(J50&gt;0,(I50/J50)*K50,0)</f>
        <v>0.11418918918918917</v>
      </c>
      <c r="M50" s="57"/>
      <c r="N50" s="57"/>
      <c r="O50" s="45">
        <f t="shared" si="12"/>
        <v>0.11418918918918917</v>
      </c>
    </row>
    <row r="51" spans="1:15" ht="14.25">
      <c r="A51" s="50" t="str">
        <f>A25</f>
        <v>  Pickup Truck, 3/4 Ton</v>
      </c>
      <c r="B51" s="50"/>
      <c r="C51" s="128">
        <v>0.02</v>
      </c>
      <c r="D51" s="44">
        <f>D25*C51</f>
        <v>604.5</v>
      </c>
      <c r="E51" s="55">
        <f>IF(D51&gt;0,D51/J25,0)</f>
        <v>1.209</v>
      </c>
      <c r="F51" s="129">
        <v>3</v>
      </c>
      <c r="G51" s="56">
        <f>$G$38</f>
        <v>3.45</v>
      </c>
      <c r="H51" s="55">
        <f>(F51*G51)*1.15</f>
        <v>11.9025</v>
      </c>
      <c r="I51" s="55">
        <f t="shared" si="9"/>
        <v>13.1115</v>
      </c>
      <c r="J51" s="84">
        <f>L25</f>
        <v>10</v>
      </c>
      <c r="K51" s="40">
        <f>N25</f>
        <v>4</v>
      </c>
      <c r="L51" s="45">
        <f>IF(J51&gt;0,(I51/J51)*K51,0)</f>
        <v>5.2446</v>
      </c>
      <c r="M51" s="99">
        <f>$M$38</f>
        <v>12</v>
      </c>
      <c r="N51" s="45">
        <f>IF(J51&gt;0,(M51/J51)*K51*1.15,0)</f>
        <v>5.52</v>
      </c>
      <c r="O51" s="45">
        <f t="shared" si="12"/>
        <v>10.7646</v>
      </c>
    </row>
    <row r="52" spans="1:15" ht="15">
      <c r="A52" s="89" t="s">
        <v>50</v>
      </c>
      <c r="B52" s="89"/>
      <c r="C52" s="89"/>
      <c r="D52" s="90"/>
      <c r="E52" s="90"/>
      <c r="F52" s="90"/>
      <c r="G52" s="90"/>
      <c r="H52" s="90"/>
      <c r="I52" s="90"/>
      <c r="J52" s="90"/>
      <c r="K52" s="90"/>
      <c r="L52" s="105">
        <f>SUM(L39:L51)</f>
        <v>12.713532989568517</v>
      </c>
      <c r="M52" s="106"/>
      <c r="N52" s="105">
        <f>SUM(N39:N51)</f>
        <v>14.124551920341393</v>
      </c>
      <c r="O52" s="105">
        <f>SUM(O39:O51)</f>
        <v>26.83808490990991</v>
      </c>
    </row>
    <row r="53" spans="1:13" ht="16.5">
      <c r="A53" s="53" t="s">
        <v>70</v>
      </c>
      <c r="B53" s="53"/>
      <c r="C53" s="26"/>
      <c r="D53" s="26"/>
      <c r="E53" s="26"/>
      <c r="F53" s="26"/>
      <c r="G53" s="26"/>
      <c r="H53" s="26"/>
      <c r="I53" s="26"/>
      <c r="J53" s="26"/>
      <c r="K53" s="26"/>
      <c r="L53" s="26"/>
      <c r="M53" s="26"/>
    </row>
    <row r="54" spans="1:13" ht="16.5">
      <c r="A54" s="53" t="s">
        <v>71</v>
      </c>
      <c r="B54" s="53"/>
      <c r="C54" s="26"/>
      <c r="D54" s="26"/>
      <c r="E54" s="26"/>
      <c r="F54" s="26"/>
      <c r="G54" s="26"/>
      <c r="H54" s="26"/>
      <c r="I54" s="26"/>
      <c r="J54" s="26"/>
      <c r="K54" s="26"/>
      <c r="L54" s="26"/>
      <c r="M54" s="26"/>
    </row>
    <row r="55" spans="1:13" ht="16.5">
      <c r="A55" s="53" t="s">
        <v>88</v>
      </c>
      <c r="B55" s="53"/>
      <c r="C55" s="26"/>
      <c r="D55" s="26"/>
      <c r="E55" s="26"/>
      <c r="F55" s="26"/>
      <c r="G55" s="26"/>
      <c r="H55" s="26"/>
      <c r="I55" s="26"/>
      <c r="J55" s="26"/>
      <c r="K55" s="26"/>
      <c r="L55" s="26"/>
      <c r="M55" s="26"/>
    </row>
    <row r="56" spans="1:13" ht="16.5">
      <c r="A56" s="53" t="s">
        <v>89</v>
      </c>
      <c r="B56" s="53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</row>
    <row r="57" spans="1:13" ht="17.25" thickBot="1">
      <c r="A57" s="53" t="s">
        <v>134</v>
      </c>
      <c r="B57" s="53"/>
      <c r="C57" s="26"/>
      <c r="D57" s="26"/>
      <c r="E57" s="26"/>
      <c r="F57" s="26"/>
      <c r="G57" s="26"/>
      <c r="H57" s="26"/>
      <c r="I57" s="26"/>
      <c r="J57" s="26"/>
      <c r="K57" s="26"/>
      <c r="L57" s="26"/>
      <c r="M57" s="26"/>
    </row>
    <row r="58" spans="1:15" ht="15" thickTop="1">
      <c r="A58" s="59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60"/>
      <c r="O58" s="60"/>
    </row>
    <row r="59" spans="1:13" ht="15">
      <c r="A59" s="61" t="s">
        <v>72</v>
      </c>
      <c r="B59" s="61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</row>
    <row r="60" spans="1:13" ht="14.25">
      <c r="A60" s="26" t="s">
        <v>100</v>
      </c>
      <c r="B60" s="26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</row>
    <row r="61" spans="1:13" ht="14.25">
      <c r="A61" s="26" t="s">
        <v>97</v>
      </c>
      <c r="B61" s="26"/>
      <c r="C61" s="26"/>
      <c r="D61" s="26"/>
      <c r="E61" s="26"/>
      <c r="F61" s="26"/>
      <c r="G61" s="26"/>
      <c r="H61" s="26"/>
      <c r="I61" s="26"/>
      <c r="J61" s="26"/>
      <c r="K61" s="26"/>
      <c r="L61" s="26"/>
      <c r="M61" s="26"/>
    </row>
    <row r="62" spans="1:13" ht="14.25">
      <c r="A62" s="26" t="s">
        <v>98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</row>
    <row r="63" spans="1:13" ht="14.25">
      <c r="A63" s="26" t="s">
        <v>99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</row>
    <row r="64" spans="1:13" ht="14.2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</row>
    <row r="65" spans="1:13" ht="14.25">
      <c r="A65" s="31" t="s">
        <v>101</v>
      </c>
      <c r="B65" s="31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</row>
    <row r="66" spans="1:13" ht="15">
      <c r="A66" s="26"/>
      <c r="B66" s="26"/>
      <c r="C66" s="26"/>
      <c r="D66" s="143" t="s">
        <v>95</v>
      </c>
      <c r="E66" s="144"/>
      <c r="F66" s="144"/>
      <c r="G66" s="144"/>
      <c r="H66" s="144"/>
      <c r="I66" s="26"/>
      <c r="J66" s="26"/>
      <c r="K66" s="26"/>
      <c r="L66" s="26"/>
      <c r="M66" s="26"/>
    </row>
    <row r="67" spans="1:13" ht="14.25">
      <c r="A67" s="26"/>
      <c r="B67" s="26"/>
      <c r="C67" s="26"/>
      <c r="D67" s="79"/>
      <c r="E67" s="49"/>
      <c r="F67" s="79" t="s">
        <v>73</v>
      </c>
      <c r="G67" s="49"/>
      <c r="H67" s="79"/>
      <c r="I67" s="26"/>
      <c r="J67" s="26"/>
      <c r="K67" s="26"/>
      <c r="L67" s="26"/>
      <c r="M67" s="26"/>
    </row>
    <row r="68" spans="1:13" ht="14.25">
      <c r="A68" s="26"/>
      <c r="B68" s="26"/>
      <c r="C68" s="26"/>
      <c r="D68" s="128">
        <v>-0.1</v>
      </c>
      <c r="E68" s="26"/>
      <c r="F68" s="39" t="s">
        <v>94</v>
      </c>
      <c r="G68" s="26"/>
      <c r="H68" s="132" t="s">
        <v>96</v>
      </c>
      <c r="I68" s="26"/>
      <c r="J68" s="26"/>
      <c r="K68" s="26"/>
      <c r="L68" s="26"/>
      <c r="M68" s="26"/>
    </row>
    <row r="69" spans="2:13" ht="14.25">
      <c r="B69" s="145" t="s">
        <v>74</v>
      </c>
      <c r="C69" s="130">
        <v>-0.1</v>
      </c>
      <c r="D69" s="62">
        <f>('WinterAnnualBudget88-9'!E24*(1+C69))/('WinterAnnualBudget88-9'!D28*(1+D68))</f>
        <v>90.9775755309317</v>
      </c>
      <c r="E69" s="63"/>
      <c r="F69" s="73">
        <f>('WinterAnnualBudget88-9'!E24*(1+C69))/'WinterAnnualBudget88-9'!D28</f>
        <v>81.87981797783854</v>
      </c>
      <c r="G69" s="63"/>
      <c r="H69" s="64">
        <f>('WinterAnnualBudget88-9'!E24*(1+C69))/('WinterAnnualBudget88-9'!D28*(1+H68))</f>
        <v>74.4361981616714</v>
      </c>
      <c r="I69" s="26"/>
      <c r="J69" s="26"/>
      <c r="K69" s="26"/>
      <c r="L69" s="26"/>
      <c r="M69" s="26"/>
    </row>
    <row r="70" spans="2:13" ht="14.25">
      <c r="B70" s="145"/>
      <c r="C70" s="31"/>
      <c r="D70" s="65"/>
      <c r="E70" s="66"/>
      <c r="F70" s="67"/>
      <c r="G70" s="66"/>
      <c r="H70" s="68"/>
      <c r="I70" s="26"/>
      <c r="J70" s="26"/>
      <c r="K70" s="26"/>
      <c r="L70" s="26"/>
      <c r="M70" s="26"/>
    </row>
    <row r="71" spans="2:13" ht="14.25">
      <c r="B71" s="145"/>
      <c r="C71" s="69" t="s">
        <v>73</v>
      </c>
      <c r="D71" s="65">
        <f>'WinterAnnualBudget88-9'!E24/('WinterAnnualBudget88-9'!D28*(1+D68))</f>
        <v>101.08619503436857</v>
      </c>
      <c r="E71" s="66"/>
      <c r="F71" s="85">
        <f>'WinterAnnualBudget88-9'!E33</f>
        <v>90.97757553093172</v>
      </c>
      <c r="G71" s="66"/>
      <c r="H71" s="75">
        <f>'WinterAnnualBudget88-9'!E24/('WinterAnnualBudget88-9'!D28*(1+H68))</f>
        <v>82.70688684630156</v>
      </c>
      <c r="I71" s="26"/>
      <c r="J71" s="26"/>
      <c r="K71" s="26"/>
      <c r="L71" s="26"/>
      <c r="M71" s="26"/>
    </row>
    <row r="72" spans="2:13" ht="14.25">
      <c r="B72" s="145"/>
      <c r="C72" s="31"/>
      <c r="D72" s="65"/>
      <c r="E72" s="66"/>
      <c r="F72" s="67"/>
      <c r="G72" s="66"/>
      <c r="H72" s="68"/>
      <c r="I72" s="26"/>
      <c r="J72" s="26"/>
      <c r="K72" s="26"/>
      <c r="L72" s="26"/>
      <c r="M72" s="26"/>
    </row>
    <row r="73" spans="2:13" ht="14.25">
      <c r="B73" s="145"/>
      <c r="C73" s="131" t="s">
        <v>96</v>
      </c>
      <c r="D73" s="70">
        <f>('WinterAnnualBudget88-9'!E24*(1+C73))/('WinterAnnualBudget88-9'!D28*(1+D68))</f>
        <v>111.19481453780543</v>
      </c>
      <c r="E73" s="71"/>
      <c r="F73" s="74">
        <f>('WinterAnnualBudget88-9'!E24*(1+C73))/'WinterAnnualBudget88-9'!D28</f>
        <v>100.07533308402489</v>
      </c>
      <c r="G73" s="71"/>
      <c r="H73" s="76">
        <f>('WinterAnnualBudget88-9'!E24*(1+C73))/('WinterAnnualBudget88-9'!D28*(1+H68))</f>
        <v>90.97757553093172</v>
      </c>
      <c r="I73" s="26"/>
      <c r="J73" s="26"/>
      <c r="K73" s="26"/>
      <c r="L73" s="26"/>
      <c r="M73" s="26"/>
    </row>
    <row r="75" spans="1:15" ht="14.25">
      <c r="A75" s="139"/>
      <c r="B75" s="139"/>
      <c r="C75" s="139"/>
      <c r="D75" s="139"/>
      <c r="E75" s="139"/>
      <c r="F75" s="139"/>
      <c r="G75" s="139"/>
      <c r="H75" s="139"/>
      <c r="I75" s="139"/>
      <c r="J75" s="139"/>
      <c r="K75" s="139"/>
      <c r="L75" s="139"/>
      <c r="M75" s="139"/>
      <c r="N75" s="139"/>
      <c r="O75" s="139"/>
    </row>
    <row r="77" spans="1:13" ht="14.25">
      <c r="A77" s="31"/>
      <c r="B77" s="31"/>
      <c r="C77" s="31"/>
      <c r="D77" s="31"/>
      <c r="E77" s="31"/>
      <c r="F77" s="67"/>
      <c r="G77" s="31"/>
      <c r="H77" s="31"/>
      <c r="I77" s="31"/>
      <c r="J77" s="31"/>
      <c r="K77" s="31"/>
      <c r="L77" s="31"/>
      <c r="M77" s="26"/>
    </row>
    <row r="78" spans="1:13" ht="14.25">
      <c r="A78" s="31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26"/>
    </row>
    <row r="79" spans="1:13" ht="14.25">
      <c r="A79" s="72"/>
      <c r="B79" s="72"/>
      <c r="C79" s="72"/>
      <c r="D79" s="72"/>
      <c r="E79" s="72"/>
      <c r="F79" s="72"/>
      <c r="G79" s="72"/>
      <c r="H79" s="72"/>
      <c r="I79" s="72"/>
      <c r="J79" s="72"/>
      <c r="K79" s="72"/>
      <c r="L79" s="72"/>
      <c r="M79" s="26"/>
    </row>
    <row r="80" ht="14.25">
      <c r="M80" s="26"/>
    </row>
  </sheetData>
  <sheetProtection sheet="1" selectLockedCells="1"/>
  <mergeCells count="2">
    <mergeCell ref="D66:H66"/>
    <mergeCell ref="B69:B73"/>
  </mergeCells>
  <printOptions horizontalCentered="1"/>
  <pageMargins left="0.75" right="0.58" top="1" bottom="1" header="0.5" footer="0.5"/>
  <pageSetup horizontalDpi="1200" verticalDpi="1200" orientation="portrait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NCSU-ARE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Benson</dc:creator>
  <cp:keywords/>
  <dc:description/>
  <cp:lastModifiedBy>gabenson</cp:lastModifiedBy>
  <cp:lastPrinted>2013-05-07T15:59:01Z</cp:lastPrinted>
  <dcterms:created xsi:type="dcterms:W3CDTF">2005-07-25T18:21:32Z</dcterms:created>
  <dcterms:modified xsi:type="dcterms:W3CDTF">2013-07-16T12:04:36Z</dcterms:modified>
  <cp:category/>
  <cp:version/>
  <cp:contentType/>
  <cp:contentStatus/>
</cp:coreProperties>
</file>