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705" yWindow="165" windowWidth="15285" windowHeight="7575" activeTab="0"/>
  </bookViews>
  <sheets>
    <sheet name="Budget88-1" sheetId="1" r:id="rId1"/>
    <sheet name="FixedCosts88-1" sheetId="2" r:id="rId2"/>
  </sheets>
  <definedNames>
    <definedName name="_xlnm.Print_Area" localSheetId="0">'Budget88-1'!$A$1:$F$69</definedName>
    <definedName name="_xlnm.Print_Area" localSheetId="1">'FixedCosts88-1'!$A$1:$O$138</definedName>
  </definedNames>
  <calcPr fullCalcOnLoad="1"/>
</workbook>
</file>

<file path=xl/sharedStrings.xml><?xml version="1.0" encoding="utf-8"?>
<sst xmlns="http://schemas.openxmlformats.org/spreadsheetml/2006/main" count="260" uniqueCount="181">
  <si>
    <t>Description</t>
  </si>
  <si>
    <t>Unit</t>
  </si>
  <si>
    <t>Price</t>
  </si>
  <si>
    <t>Quantity</t>
  </si>
  <si>
    <t>Value</t>
  </si>
  <si>
    <t>Ton</t>
  </si>
  <si>
    <t>Acre</t>
  </si>
  <si>
    <t xml:space="preserve">      -Fert. Spread, custom</t>
  </si>
  <si>
    <t xml:space="preserve">      -30% N Solution</t>
  </si>
  <si>
    <t>Cwt.</t>
  </si>
  <si>
    <t>Hours</t>
  </si>
  <si>
    <t>Amount</t>
  </si>
  <si>
    <t>Total Cost</t>
  </si>
  <si>
    <t xml:space="preserve">      -Other Labor</t>
  </si>
  <si>
    <t>$</t>
  </si>
  <si>
    <t xml:space="preserve">Table 1.  Initial investment in specialized equipment and annual ownership expenses </t>
  </si>
  <si>
    <t>Operation and Item</t>
  </si>
  <si>
    <t>Life</t>
  </si>
  <si>
    <t>Initial</t>
  </si>
  <si>
    <t xml:space="preserve">Salvage </t>
  </si>
  <si>
    <t>Deprec-</t>
  </si>
  <si>
    <r>
      <t>Interest</t>
    </r>
    <r>
      <rPr>
        <b/>
        <vertAlign val="superscript"/>
        <sz val="11"/>
        <rFont val="Arial"/>
        <family val="2"/>
      </rPr>
      <t>b</t>
    </r>
  </si>
  <si>
    <t>Tax &amp;</t>
  </si>
  <si>
    <t>Annual</t>
  </si>
  <si>
    <t>D.I.T.I.</t>
  </si>
  <si>
    <t>Acres</t>
  </si>
  <si>
    <t>Expense</t>
  </si>
  <si>
    <t>Times</t>
  </si>
  <si>
    <t>Total</t>
  </si>
  <si>
    <t>Cost</t>
  </si>
  <si>
    <r>
      <t>iation</t>
    </r>
    <r>
      <rPr>
        <b/>
        <vertAlign val="superscript"/>
        <sz val="11"/>
        <rFont val="Arial"/>
        <family val="2"/>
      </rPr>
      <t>a</t>
    </r>
  </si>
  <si>
    <r>
      <t>Ins.</t>
    </r>
    <r>
      <rPr>
        <b/>
        <vertAlign val="superscript"/>
        <sz val="11"/>
        <rFont val="Arial"/>
        <family val="2"/>
      </rPr>
      <t>c</t>
    </r>
  </si>
  <si>
    <t>Use</t>
  </si>
  <si>
    <t>per Hour</t>
  </si>
  <si>
    <r>
      <t>per Acre</t>
    </r>
    <r>
      <rPr>
        <b/>
        <vertAlign val="superscript"/>
        <sz val="11"/>
        <rFont val="Arial"/>
        <family val="2"/>
      </rPr>
      <t>d</t>
    </r>
  </si>
  <si>
    <r>
      <t>Over</t>
    </r>
    <r>
      <rPr>
        <b/>
        <vertAlign val="superscript"/>
        <sz val="11"/>
        <rFont val="Arial"/>
        <family val="2"/>
      </rPr>
      <t>e</t>
    </r>
  </si>
  <si>
    <t>Years</t>
  </si>
  <si>
    <t>No.</t>
  </si>
  <si>
    <t>$/Acre</t>
  </si>
  <si>
    <t>TOTALS</t>
  </si>
  <si>
    <r>
      <t>a</t>
    </r>
    <r>
      <rPr>
        <sz val="11"/>
        <rFont val="Arial"/>
        <family val="2"/>
      </rPr>
      <t xml:space="preserve"> Depreciation = (Initial cost - Salvage value) / years of life</t>
    </r>
  </si>
  <si>
    <r>
      <t xml:space="preserve">b </t>
    </r>
    <r>
      <rPr>
        <sz val="11"/>
        <rFont val="Arial"/>
        <family val="2"/>
      </rPr>
      <t>Interest on investment = ((Initial cost + Salvage value) / 2) X interest rate</t>
    </r>
  </si>
  <si>
    <r>
      <t xml:space="preserve">c </t>
    </r>
    <r>
      <rPr>
        <sz val="11"/>
        <rFont val="Arial"/>
        <family val="2"/>
      </rPr>
      <t xml:space="preserve">Combined rate of property taxes and insurance premiums as a percentage of the average investment </t>
    </r>
  </si>
  <si>
    <r>
      <t xml:space="preserve">d </t>
    </r>
    <r>
      <rPr>
        <sz val="11"/>
        <rFont val="Arial"/>
        <family val="2"/>
      </rPr>
      <t>Per acre costs for self-propelled vehicles include an additional 10% allowance for travel time from farm to field</t>
    </r>
  </si>
  <si>
    <r>
      <t xml:space="preserve">e </t>
    </r>
    <r>
      <rPr>
        <sz val="11"/>
        <rFont val="Arial"/>
        <family val="2"/>
      </rPr>
      <t>Total number of trips across the field per year for this operation</t>
    </r>
  </si>
  <si>
    <t xml:space="preserve">Table 2. Operating expense for forage machinery and equipment per hour and per acre </t>
  </si>
  <si>
    <t>Repairs</t>
  </si>
  <si>
    <t>Fuel</t>
  </si>
  <si>
    <t>Labor</t>
  </si>
  <si>
    <r>
      <t>&amp; Maint.</t>
    </r>
    <r>
      <rPr>
        <b/>
        <vertAlign val="superscript"/>
        <sz val="11"/>
        <rFont val="Arial"/>
        <family val="2"/>
      </rPr>
      <t>a</t>
    </r>
  </si>
  <si>
    <t>&amp; Maint.</t>
  </si>
  <si>
    <r>
      <t>&amp; Maint.</t>
    </r>
    <r>
      <rPr>
        <b/>
        <vertAlign val="superscript"/>
        <sz val="11"/>
        <rFont val="Arial"/>
        <family val="2"/>
      </rPr>
      <t>b</t>
    </r>
  </si>
  <si>
    <t>per Gal</t>
  </si>
  <si>
    <t>Over</t>
  </si>
  <si>
    <t>%</t>
  </si>
  <si>
    <t>$/Year</t>
  </si>
  <si>
    <t>$/Hour</t>
  </si>
  <si>
    <t>Gals/hr</t>
  </si>
  <si>
    <r>
      <t xml:space="preserve">a </t>
    </r>
    <r>
      <rPr>
        <sz val="11"/>
        <rFont val="Arial"/>
        <family val="2"/>
      </rPr>
      <t xml:space="preserve">Repairs and maintenance costs are calculated as a % of the initial cost in Table 1.  Percentages are higher for equipment bought used. </t>
    </r>
  </si>
  <si>
    <r>
      <t xml:space="preserve">b </t>
    </r>
    <r>
      <rPr>
        <sz val="11"/>
        <rFont val="Arial"/>
        <family val="2"/>
      </rPr>
      <t>Repairs and maintenance costs per hour based on annual use shown in Table 1.</t>
    </r>
  </si>
  <si>
    <t>Table 3.  Sensitivity Analysis</t>
  </si>
  <si>
    <t>Base</t>
  </si>
  <si>
    <t>COST</t>
  </si>
  <si>
    <t xml:space="preserve">      -Machinery Labor (From Table 2)</t>
  </si>
  <si>
    <t xml:space="preserve">      -Machinery Fuel, Maint, Repairs (Table 2)</t>
  </si>
  <si>
    <t xml:space="preserve">      -10-10-10, dry bulk</t>
  </si>
  <si>
    <t>Rate Charged, percent ====&gt;</t>
  </si>
  <si>
    <t xml:space="preserve">  Tractor, HP=</t>
  </si>
  <si>
    <t xml:space="preserve">  Pickup Truck, 3/4 Ton</t>
  </si>
  <si>
    <t>Fuel cost per gallon &amp; Labor cost per hour ====&gt;</t>
  </si>
  <si>
    <t>Fuel &amp;</t>
  </si>
  <si>
    <r>
      <t>Lube</t>
    </r>
    <r>
      <rPr>
        <b/>
        <vertAlign val="superscript"/>
        <sz val="11"/>
        <rFont val="Arial"/>
        <family val="2"/>
      </rPr>
      <t>c</t>
    </r>
  </si>
  <si>
    <r>
      <t xml:space="preserve">c </t>
    </r>
    <r>
      <rPr>
        <sz val="11"/>
        <rFont val="Arial"/>
        <family val="2"/>
      </rPr>
      <t>Total fuel cost plus lube costs estimated as 15% of the fuel cost.</t>
    </r>
  </si>
  <si>
    <r>
      <t xml:space="preserve">d </t>
    </r>
    <r>
      <rPr>
        <sz val="11"/>
        <rFont val="Arial"/>
        <family val="2"/>
      </rPr>
      <t>Per acre costs for tractors and other self-propelled equipment includes an additional 10% allowance for travel time from farm to field.</t>
    </r>
  </si>
  <si>
    <r>
      <t>Cost</t>
    </r>
    <r>
      <rPr>
        <b/>
        <vertAlign val="superscript"/>
        <sz val="11"/>
        <rFont val="Arial"/>
        <family val="2"/>
      </rPr>
      <t>e</t>
    </r>
  </si>
  <si>
    <t>Budget</t>
  </si>
  <si>
    <t>+10%</t>
  </si>
  <si>
    <t xml:space="preserve">in North Carolina.   However, there is a wide variation in conditions from one farm to another and costs and yields can vary from year to year. </t>
  </si>
  <si>
    <t>Budget 88-1</t>
  </si>
  <si>
    <t xml:space="preserve">   Operating inputs Pre-Harvest</t>
  </si>
  <si>
    <t xml:space="preserve">      -Corn Seed</t>
  </si>
  <si>
    <t>'000s</t>
  </si>
  <si>
    <t xml:space="preserve">      -Herbicide</t>
  </si>
  <si>
    <t xml:space="preserve">  Total Pre-Harvest Operating Costs</t>
  </si>
  <si>
    <r>
      <t xml:space="preserve">      -Operating Capital Interest</t>
    </r>
    <r>
      <rPr>
        <vertAlign val="superscript"/>
        <sz val="10"/>
        <rFont val="Arial"/>
        <family val="2"/>
      </rPr>
      <t>b</t>
    </r>
  </si>
  <si>
    <t xml:space="preserve">      -Harvesting Machinery Labor (From Table 2)</t>
  </si>
  <si>
    <t xml:space="preserve">      -Transporting Labor (From Table 2)</t>
  </si>
  <si>
    <t xml:space="preserve">      -Filling/Packing Machinery Labor (From Table 2)</t>
  </si>
  <si>
    <t xml:space="preserve">      -Filling/Packing Machinery Fuel, Maint, Repairs (Table 2)</t>
  </si>
  <si>
    <r>
      <t xml:space="preserve">   Operating Inputs for Harvesting</t>
    </r>
    <r>
      <rPr>
        <b/>
        <vertAlign val="superscript"/>
        <sz val="10"/>
        <rFont val="Arial"/>
        <family val="2"/>
      </rPr>
      <t>a</t>
    </r>
  </si>
  <si>
    <r>
      <t xml:space="preserve">a </t>
    </r>
    <r>
      <rPr>
        <sz val="10"/>
        <rFont val="Arial"/>
        <family val="2"/>
      </rPr>
      <t>Harvesting expense includes transporting silage to the silo, filling or packing and sealing the silo.</t>
    </r>
  </si>
  <si>
    <t xml:space="preserve">     -Pre-Harvest </t>
  </si>
  <si>
    <t xml:space="preserve">     -Harvesting </t>
  </si>
  <si>
    <t xml:space="preserve">    -Transporting</t>
  </si>
  <si>
    <r>
      <t xml:space="preserve">      </t>
    </r>
    <r>
      <rPr>
        <b/>
        <sz val="10"/>
        <rFont val="Arial"/>
        <family val="2"/>
      </rPr>
      <t>Corn Silage</t>
    </r>
  </si>
  <si>
    <t>Total Revenue</t>
  </si>
  <si>
    <t>COST PER TON OF DRY MATTER (DM)</t>
  </si>
  <si>
    <t>Land preparation</t>
  </si>
  <si>
    <t xml:space="preserve">  + Chisel plow</t>
  </si>
  <si>
    <t xml:space="preserve">  + Sprayer</t>
  </si>
  <si>
    <t>Weed control</t>
  </si>
  <si>
    <t>Harvesting</t>
  </si>
  <si>
    <t xml:space="preserve">  + Implement</t>
  </si>
  <si>
    <t xml:space="preserve">  Self-propelled, HP=</t>
  </si>
  <si>
    <t>Transportation</t>
  </si>
  <si>
    <t xml:space="preserve">  + Wagon</t>
  </si>
  <si>
    <t xml:space="preserve">  Tractor, HP =</t>
  </si>
  <si>
    <t xml:space="preserve">Operation </t>
  </si>
  <si>
    <t>and Item</t>
  </si>
  <si>
    <t>Horse</t>
  </si>
  <si>
    <t>Power</t>
  </si>
  <si>
    <r>
      <t xml:space="preserve">   Land Rent</t>
    </r>
    <r>
      <rPr>
        <b/>
        <vertAlign val="superscript"/>
        <sz val="10"/>
        <rFont val="Arial"/>
        <family val="2"/>
      </rPr>
      <t>c</t>
    </r>
  </si>
  <si>
    <r>
      <t xml:space="preserve">d </t>
    </r>
    <r>
      <rPr>
        <sz val="10"/>
        <rFont val="Arial"/>
        <family val="2"/>
      </rPr>
      <t xml:space="preserve">If the silage is for your own use or is for sale as pickled silage, use the estimated quantity of pickled silage produced </t>
    </r>
  </si>
  <si>
    <r>
      <t>Quantity</t>
    </r>
    <r>
      <rPr>
        <b/>
        <vertAlign val="superscript"/>
        <sz val="10"/>
        <rFont val="Arial"/>
        <family val="2"/>
      </rPr>
      <t>d</t>
    </r>
  </si>
  <si>
    <r>
      <t>REVENUE</t>
    </r>
    <r>
      <rPr>
        <b/>
        <vertAlign val="superscript"/>
        <sz val="11"/>
        <rFont val="Arial"/>
        <family val="2"/>
      </rPr>
      <t>e</t>
    </r>
  </si>
  <si>
    <t>Planting</t>
  </si>
  <si>
    <t>Equip.</t>
  </si>
  <si>
    <t>Op. Cost</t>
  </si>
  <si>
    <r>
      <t xml:space="preserve">b </t>
    </r>
    <r>
      <rPr>
        <sz val="10"/>
        <rFont val="Arial"/>
        <family val="2"/>
      </rPr>
      <t>Interest on operating expenses for an average of 4 months.</t>
    </r>
  </si>
  <si>
    <t>Sq. foot</t>
  </si>
  <si>
    <t xml:space="preserve">  Total Harvest Operating Costs</t>
  </si>
  <si>
    <t xml:space="preserve">  Total Operating Costs</t>
  </si>
  <si>
    <t xml:space="preserve">  + Blower</t>
  </si>
  <si>
    <t>Filling/Packing</t>
  </si>
  <si>
    <t xml:space="preserve">    Subtotal Harvest Operating Costs</t>
  </si>
  <si>
    <t xml:space="preserve">    Subtotal Transporting Operating Costs</t>
  </si>
  <si>
    <t xml:space="preserve">    Subtotal Filling/Packing &amp; Covering Op. Cost</t>
  </si>
  <si>
    <t>Other Pre-harvest</t>
  </si>
  <si>
    <r>
      <t xml:space="preserve">   </t>
    </r>
    <r>
      <rPr>
        <b/>
        <sz val="11"/>
        <rFont val="Arial"/>
        <family val="2"/>
      </rPr>
      <t xml:space="preserve">Fixed Costs </t>
    </r>
    <r>
      <rPr>
        <sz val="11"/>
        <rFont val="Arial"/>
        <family val="2"/>
      </rPr>
      <t>From Table 1</t>
    </r>
  </si>
  <si>
    <t xml:space="preserve">  + Pull Harvester</t>
  </si>
  <si>
    <t>NOTES, RESOURCES AND REFERENCES</t>
  </si>
  <si>
    <t xml:space="preserve">      -Miscellaneous, e.g., soil test</t>
  </si>
  <si>
    <t xml:space="preserve">  + Planter/drill</t>
  </si>
  <si>
    <t xml:space="preserve">   Truck, used</t>
  </si>
  <si>
    <t xml:space="preserve">    -Filling/packing &amp; covering</t>
  </si>
  <si>
    <r>
      <t>Machinery housing</t>
    </r>
    <r>
      <rPr>
        <vertAlign val="superscript"/>
        <sz val="11"/>
        <rFont val="Arial"/>
        <family val="2"/>
      </rPr>
      <t>f</t>
    </r>
  </si>
  <si>
    <t>Crop</t>
  </si>
  <si>
    <t>per Acre</t>
  </si>
  <si>
    <r>
      <t xml:space="preserve">e </t>
    </r>
    <r>
      <rPr>
        <sz val="11"/>
        <rFont val="Arial"/>
        <family val="2"/>
      </rPr>
      <t>Labor cost per acre includes an additional 15% allowance for travel time, setting up and finishing up.</t>
    </r>
  </si>
  <si>
    <t>Oper.</t>
  </si>
  <si>
    <r>
      <t>Cost</t>
    </r>
    <r>
      <rPr>
        <b/>
        <vertAlign val="superscript"/>
        <sz val="11"/>
        <rFont val="Arial"/>
        <family val="2"/>
      </rPr>
      <t>d</t>
    </r>
  </si>
  <si>
    <t xml:space="preserve">  + Disc</t>
  </si>
  <si>
    <r>
      <t xml:space="preserve">f </t>
    </r>
    <r>
      <rPr>
        <sz val="11"/>
        <rFont val="Arial"/>
        <family val="2"/>
      </rPr>
      <t>Show only the share of machinery housing and maintenance buildings attributed to corn silage machinery and equipment based on use.</t>
    </r>
  </si>
  <si>
    <r>
      <t xml:space="preserve">f </t>
    </r>
    <r>
      <rPr>
        <sz val="11"/>
        <rFont val="Arial"/>
        <family val="2"/>
      </rPr>
      <t>Based on the machinery housing and maintenance buildings investment attributed to corn silage machinery and equipment in Table 1.</t>
    </r>
  </si>
  <si>
    <t xml:space="preserve">      -Cover, pro rated share</t>
  </si>
  <si>
    <t>Other NCSU enterprise budgets are available on the internet at http://www.ag-econ.ncsu.edu/extension/Ag_budgets.html  or from your county extension office.</t>
  </si>
  <si>
    <t>Silo</t>
  </si>
  <si>
    <t xml:space="preserve">    -Silo &amp; machinery housing</t>
  </si>
  <si>
    <t xml:space="preserve">    Silo &amp; machinery housing maintenance (from Table 2)</t>
  </si>
  <si>
    <t>A searchable national enterpise budget library is available on-line at http://www.agrisk.umn.edu/Budgets/</t>
  </si>
  <si>
    <t>Dry matter %</t>
  </si>
  <si>
    <t>COST PER TON AS MADE OR AS SOLD</t>
  </si>
  <si>
    <t xml:space="preserve">These tables show A) the total cost per ton of silage as made or sold,  and B) per ton of of dry matter produced, under various assumptions about costs </t>
  </si>
  <si>
    <t>and yields.  Specifically, the cost and yields shown in the enterprise budget on the first page are believed  to be fairly representative of conditions</t>
  </si>
  <si>
    <t xml:space="preserve">A.  TOTAL COST PER TON OFSILAGE AS MADE OR SOLD, AT THE MOISTURE CONTENT LISTED IN THE BUDGET </t>
  </si>
  <si>
    <t>Total Fixed Costs</t>
  </si>
  <si>
    <t xml:space="preserve">      -Herbicide, Burndown</t>
  </si>
  <si>
    <t xml:space="preserve">      -Other </t>
  </si>
  <si>
    <t xml:space="preserve">  + Harrow</t>
  </si>
  <si>
    <t xml:space="preserve">The table shows the effects of yields and costs that are 10 percent higher or lower than the basic budget, singly and in combination.   The cost </t>
  </si>
  <si>
    <t>adjustments are "across the board" and, for example, do not reduce harvest costs for a lower yeild</t>
  </si>
  <si>
    <t>per acre.  Alllow for fermentation and spoilage losses.  Loss estimates vary from 5% to 50% with 10% to 20% most common.</t>
  </si>
  <si>
    <t xml:space="preserve">      -Lime, applied, pro rated share</t>
  </si>
  <si>
    <t>TOTAL</t>
  </si>
  <si>
    <t>Comments</t>
  </si>
  <si>
    <t xml:space="preserve">Budget data developed by J.T. Green, Jr., Crop Science Extension Specialist, NCSU (Retired), and </t>
  </si>
  <si>
    <r>
      <t>Corn Silage</t>
    </r>
    <r>
      <rPr>
        <sz val="12"/>
        <rFont val="Arial"/>
        <family val="2"/>
      </rPr>
      <t xml:space="preserve">:  Estimated annual revenue, operating cost, fixed cost and net returns </t>
    </r>
  </si>
  <si>
    <t>per acre (No-till).</t>
  </si>
  <si>
    <t xml:space="preserve">      -Harvesting Machinery Fuel, Maint, Repairs (Table 2)</t>
  </si>
  <si>
    <t xml:space="preserve">    =  Machinery Depreciation, Interest,Taxes, &amp; Ins. </t>
  </si>
  <si>
    <r>
      <t xml:space="preserve">e </t>
    </r>
    <r>
      <rPr>
        <sz val="10"/>
        <rFont val="Arial"/>
        <family val="2"/>
      </rPr>
      <t xml:space="preserve">Only include revenue if the silage is sold.  If so, use the price and quantity as sold (field chop or pickled silage). </t>
    </r>
  </si>
  <si>
    <t>COST OR RETURNS ABOVE TOTAL OPERATING COST, PER ACRE</t>
  </si>
  <si>
    <t>RETURNS ABOVE ALL SPECIFIED COSTS, PER ACRE</t>
  </si>
  <si>
    <t>"Estimating Farm Machinery Costs" Ag Decision Maker A3-29, Iowa State University, University Extension, November 2009</t>
  </si>
  <si>
    <t>Spreadsheet developed by G.A. Benson, Extension Economist, NCSU (Retired).</t>
  </si>
  <si>
    <t>G.A. Benson, Extension Economist, NCSU (Retired).</t>
  </si>
  <si>
    <t xml:space="preserve">      -Transporting Machinery Fuel, Maint, Repairs (Table 2)</t>
  </si>
  <si>
    <r>
      <t xml:space="preserve">c </t>
    </r>
    <r>
      <rPr>
        <sz val="10"/>
        <rFont val="Arial"/>
        <family val="2"/>
      </rPr>
      <t xml:space="preserve">Land rent is not normally included in an enterprise budget but rent cost is appropriate for a contract grower using rented land.  </t>
    </r>
  </si>
  <si>
    <t xml:space="preserve">      DRY MATTER YIELD </t>
  </si>
  <si>
    <t xml:space="preserve">      YIELD AS MADE </t>
  </si>
  <si>
    <t>B.  TOTAL COST PER TON OF DRY MATTER PRODUCED, DISCOUNTED AT THE MOISTURE CONTENT LISTED IN THE BUDGET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</si>
</sst>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"/>
    <numFmt numFmtId="166" formatCode="0.000"/>
    <numFmt numFmtId="167" formatCode="&quot;$&quot;#,##0.000_);\(&quot;$&quot;#,##0.000\)"/>
    <numFmt numFmtId="168" formatCode="0.0%"/>
    <numFmt numFmtId="169" formatCode="&quot;$&quot;#,##0"/>
    <numFmt numFmtId="170" formatCode="[$-409]dddd\,\ mmmm\ dd\,\ yyyy"/>
    <numFmt numFmtId="171" formatCode="0.0"/>
    <numFmt numFmtId="172" formatCode="#,##0.0"/>
    <numFmt numFmtId="173" formatCode="[$-409]mmm\-yy;@"/>
    <numFmt numFmtId="174" formatCode="#,##0.000_);\(#,##0.000\)"/>
  </numFmts>
  <fonts count="49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8.25"/>
      <color indexed="12"/>
      <name val="Arial"/>
      <family val="2"/>
    </font>
    <font>
      <u val="single"/>
      <sz val="8.25"/>
      <color indexed="36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8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6" fontId="2" fillId="0" borderId="10" xfId="0" applyNumberFormat="1" applyFont="1" applyBorder="1" applyAlignment="1">
      <alignment/>
    </xf>
    <xf numFmtId="7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10" xfId="0" applyBorder="1" applyAlignment="1">
      <alignment/>
    </xf>
    <xf numFmtId="0" fontId="2" fillId="33" borderId="12" xfId="0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right"/>
    </xf>
    <xf numFmtId="17" fontId="0" fillId="0" borderId="0" xfId="0" applyNumberFormat="1" applyFont="1" applyAlignment="1">
      <alignment horizontal="left"/>
    </xf>
    <xf numFmtId="0" fontId="6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 quotePrefix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 quotePrefix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Fill="1" applyAlignment="1">
      <alignment horizontal="right"/>
    </xf>
    <xf numFmtId="0" fontId="0" fillId="0" borderId="0" xfId="0" applyFont="1" applyFill="1" applyAlignment="1" quotePrefix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 quotePrefix="1">
      <alignment/>
    </xf>
    <xf numFmtId="0" fontId="0" fillId="0" borderId="0" xfId="0" applyFont="1" applyFill="1" applyAlignment="1">
      <alignment/>
    </xf>
    <xf numFmtId="3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13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3" fontId="0" fillId="0" borderId="0" xfId="0" applyNumberFormat="1" applyFont="1" applyBorder="1" applyAlignment="1">
      <alignment/>
    </xf>
    <xf numFmtId="0" fontId="8" fillId="0" borderId="13" xfId="0" applyFont="1" applyBorder="1" applyAlignment="1">
      <alignment horizontal="left"/>
    </xf>
    <xf numFmtId="0" fontId="6" fillId="0" borderId="0" xfId="0" applyFont="1" applyAlignment="1">
      <alignment/>
    </xf>
    <xf numFmtId="165" fontId="0" fillId="0" borderId="15" xfId="0" applyNumberFormat="1" applyFont="1" applyBorder="1" applyAlignment="1">
      <alignment/>
    </xf>
    <xf numFmtId="169" fontId="0" fillId="0" borderId="13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16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65" fontId="0" fillId="0" borderId="18" xfId="0" applyNumberFormat="1" applyFont="1" applyBorder="1" applyAlignment="1">
      <alignment/>
    </xf>
    <xf numFmtId="169" fontId="0" fillId="0" borderId="14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 quotePrefix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Border="1" applyAlignment="1">
      <alignment/>
    </xf>
    <xf numFmtId="171" fontId="0" fillId="0" borderId="0" xfId="0" applyNumberFormat="1" applyFont="1" applyAlignment="1">
      <alignment/>
    </xf>
    <xf numFmtId="165" fontId="0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2" fontId="1" fillId="0" borderId="21" xfId="0" applyNumberFormat="1" applyFont="1" applyBorder="1" applyAlignment="1">
      <alignment/>
    </xf>
    <xf numFmtId="0" fontId="1" fillId="0" borderId="10" xfId="0" applyFont="1" applyBorder="1" applyAlignment="1" quotePrefix="1">
      <alignment/>
    </xf>
    <xf numFmtId="165" fontId="1" fillId="0" borderId="0" xfId="0" applyNumberFormat="1" applyFont="1" applyBorder="1" applyAlignment="1">
      <alignment/>
    </xf>
    <xf numFmtId="0" fontId="2" fillId="0" borderId="10" xfId="0" applyFont="1" applyBorder="1" applyAlignment="1" quotePrefix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6" fillId="0" borderId="14" xfId="0" applyFont="1" applyBorder="1" applyAlignment="1">
      <alignment horizontal="left"/>
    </xf>
    <xf numFmtId="4" fontId="0" fillId="0" borderId="13" xfId="0" applyNumberFormat="1" applyFont="1" applyFill="1" applyBorder="1" applyAlignment="1">
      <alignment/>
    </xf>
    <xf numFmtId="171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2" fontId="0" fillId="0" borderId="13" xfId="0" applyNumberFormat="1" applyFont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0" fillId="0" borderId="2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8" fillId="0" borderId="13" xfId="0" applyFont="1" applyBorder="1" applyAlignment="1" quotePrefix="1">
      <alignment horizontal="left"/>
    </xf>
    <xf numFmtId="9" fontId="0" fillId="0" borderId="0" xfId="0" applyNumberFormat="1" applyFont="1" applyFill="1" applyAlignment="1">
      <alignment horizontal="center"/>
    </xf>
    <xf numFmtId="9" fontId="0" fillId="0" borderId="13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33" borderId="0" xfId="0" applyFont="1" applyFill="1" applyAlignment="1" quotePrefix="1">
      <alignment horizontal="center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 quotePrefix="1">
      <alignment horizontal="center"/>
    </xf>
    <xf numFmtId="0" fontId="6" fillId="0" borderId="22" xfId="0" applyFont="1" applyFill="1" applyBorder="1" applyAlignment="1">
      <alignment horizontal="center"/>
    </xf>
    <xf numFmtId="4" fontId="0" fillId="33" borderId="0" xfId="0" applyNumberFormat="1" applyFont="1" applyFill="1" applyAlignment="1">
      <alignment/>
    </xf>
    <xf numFmtId="4" fontId="0" fillId="33" borderId="0" xfId="0" applyNumberFormat="1" applyFont="1" applyFill="1" applyBorder="1" applyAlignment="1">
      <alignment/>
    </xf>
    <xf numFmtId="171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/>
    </xf>
    <xf numFmtId="2" fontId="2" fillId="0" borderId="21" xfId="0" applyNumberFormat="1" applyFont="1" applyBorder="1" applyAlignment="1">
      <alignment/>
    </xf>
    <xf numFmtId="0" fontId="0" fillId="0" borderId="2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6" fillId="0" borderId="10" xfId="0" applyFont="1" applyBorder="1" applyAlignment="1" quotePrefix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7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8" fontId="6" fillId="0" borderId="10" xfId="0" applyNumberFormat="1" applyFont="1" applyBorder="1" applyAlignment="1">
      <alignment horizontal="center"/>
    </xf>
    <xf numFmtId="7" fontId="2" fillId="0" borderId="10" xfId="0" applyNumberFormat="1" applyFont="1" applyBorder="1" applyAlignment="1">
      <alignment horizontal="center"/>
    </xf>
    <xf numFmtId="0" fontId="2" fillId="33" borderId="16" xfId="0" applyFont="1" applyFill="1" applyBorder="1" applyAlignment="1">
      <alignment/>
    </xf>
    <xf numFmtId="0" fontId="0" fillId="0" borderId="16" xfId="0" applyBorder="1" applyAlignment="1" quotePrefix="1">
      <alignment/>
    </xf>
    <xf numFmtId="0" fontId="2" fillId="34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7" fontId="2" fillId="34" borderId="10" xfId="0" applyNumberFormat="1" applyFont="1" applyFill="1" applyBorder="1" applyAlignment="1" applyProtection="1">
      <alignment horizontal="center"/>
      <protection locked="0"/>
    </xf>
    <xf numFmtId="2" fontId="2" fillId="34" borderId="10" xfId="0" applyNumberFormat="1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 quotePrefix="1">
      <alignment horizontal="center"/>
      <protection locked="0"/>
    </xf>
    <xf numFmtId="0" fontId="2" fillId="34" borderId="10" xfId="0" applyFont="1" applyFill="1" applyBorder="1" applyAlignment="1" applyProtection="1" quotePrefix="1">
      <alignment/>
      <protection locked="0"/>
    </xf>
    <xf numFmtId="168" fontId="2" fillId="34" borderId="10" xfId="0" applyNumberFormat="1" applyFont="1" applyFill="1" applyBorder="1" applyAlignment="1" applyProtection="1">
      <alignment horizontal="center"/>
      <protection locked="0"/>
    </xf>
    <xf numFmtId="174" fontId="2" fillId="34" borderId="10" xfId="0" applyNumberFormat="1" applyFont="1" applyFill="1" applyBorder="1" applyAlignment="1" applyProtection="1">
      <alignment horizontal="center"/>
      <protection locked="0"/>
    </xf>
    <xf numFmtId="3" fontId="2" fillId="34" borderId="10" xfId="0" applyNumberFormat="1" applyFont="1" applyFill="1" applyBorder="1" applyAlignment="1" applyProtection="1">
      <alignment horizontal="center"/>
      <protection locked="0"/>
    </xf>
    <xf numFmtId="2" fontId="2" fillId="34" borderId="10" xfId="0" applyNumberFormat="1" applyFont="1" applyFill="1" applyBorder="1" applyAlignment="1" applyProtection="1">
      <alignment/>
      <protection locked="0"/>
    </xf>
    <xf numFmtId="8" fontId="2" fillId="34" borderId="10" xfId="0" applyNumberFormat="1" applyFont="1" applyFill="1" applyBorder="1" applyAlignment="1" applyProtection="1">
      <alignment/>
      <protection locked="0"/>
    </xf>
    <xf numFmtId="171" fontId="2" fillId="34" borderId="10" xfId="0" applyNumberFormat="1" applyFont="1" applyFill="1" applyBorder="1" applyAlignment="1" applyProtection="1">
      <alignment horizontal="center"/>
      <protection locked="0"/>
    </xf>
    <xf numFmtId="9" fontId="2" fillId="34" borderId="10" xfId="0" applyNumberFormat="1" applyFont="1" applyFill="1" applyBorder="1" applyAlignment="1" applyProtection="1">
      <alignment horizontal="center"/>
      <protection locked="0"/>
    </xf>
    <xf numFmtId="10" fontId="0" fillId="34" borderId="0" xfId="0" applyNumberFormat="1" applyFont="1" applyFill="1" applyAlignment="1" applyProtection="1">
      <alignment horizontal="right"/>
      <protection locked="0"/>
    </xf>
    <xf numFmtId="0" fontId="0" fillId="34" borderId="0" xfId="0" applyFont="1" applyFill="1" applyAlignment="1" applyProtection="1">
      <alignment horizontal="center"/>
      <protection locked="0"/>
    </xf>
    <xf numFmtId="3" fontId="0" fillId="34" borderId="0" xfId="0" applyNumberFormat="1" applyFont="1" applyFill="1" applyAlignment="1" applyProtection="1">
      <alignment/>
      <protection locked="0"/>
    </xf>
    <xf numFmtId="0" fontId="0" fillId="34" borderId="0" xfId="0" applyFont="1" applyFill="1" applyAlignment="1" applyProtection="1" quotePrefix="1">
      <alignment/>
      <protection locked="0"/>
    </xf>
    <xf numFmtId="0" fontId="0" fillId="34" borderId="0" xfId="0" applyFont="1" applyFill="1" applyBorder="1" applyAlignment="1" applyProtection="1" quotePrefix="1">
      <alignment/>
      <protection locked="0"/>
    </xf>
    <xf numFmtId="0" fontId="0" fillId="34" borderId="0" xfId="0" applyFill="1" applyAlignment="1" applyProtection="1" quotePrefix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3" fontId="0" fillId="34" borderId="0" xfId="0" applyNumberFormat="1" applyFont="1" applyFill="1" applyBorder="1" applyAlignment="1" applyProtection="1">
      <alignment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 quotePrefix="1">
      <alignment horizontal="center"/>
      <protection locked="0"/>
    </xf>
    <xf numFmtId="9" fontId="0" fillId="34" borderId="0" xfId="0" applyNumberFormat="1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2" fontId="0" fillId="34" borderId="0" xfId="0" applyNumberFormat="1" applyFont="1" applyFill="1" applyAlignment="1" applyProtection="1">
      <alignment/>
      <protection locked="0"/>
    </xf>
    <xf numFmtId="9" fontId="0" fillId="34" borderId="0" xfId="0" applyNumberFormat="1" applyFont="1" applyFill="1" applyAlignment="1" applyProtection="1" quotePrefix="1">
      <alignment horizontal="center"/>
      <protection locked="0"/>
    </xf>
    <xf numFmtId="9" fontId="0" fillId="34" borderId="0" xfId="0" applyNumberFormat="1" applyFont="1" applyFill="1" applyBorder="1" applyAlignment="1" applyProtection="1">
      <alignment horizontal="right"/>
      <protection locked="0"/>
    </xf>
    <xf numFmtId="9" fontId="0" fillId="34" borderId="0" xfId="0" applyNumberFormat="1" applyFont="1" applyFill="1" applyBorder="1" applyAlignment="1" applyProtection="1" quotePrefix="1">
      <alignment horizontal="right"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3" fontId="0" fillId="34" borderId="0" xfId="0" applyNumberFormat="1" applyFont="1" applyFill="1" applyAlignment="1" applyProtection="1">
      <alignment horizontal="right"/>
      <protection locked="0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2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34" borderId="0" xfId="0" applyNumberFormat="1" applyFont="1" applyFill="1" applyAlignment="1" applyProtection="1">
      <alignment horizontal="center"/>
      <protection locked="0"/>
    </xf>
    <xf numFmtId="2" fontId="6" fillId="0" borderId="22" xfId="0" applyNumberFormat="1" applyFont="1" applyFill="1" applyBorder="1" applyAlignment="1">
      <alignment horizontal="center"/>
    </xf>
    <xf numFmtId="2" fontId="0" fillId="33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0" fontId="11" fillId="34" borderId="10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right"/>
    </xf>
    <xf numFmtId="165" fontId="6" fillId="0" borderId="13" xfId="0" applyNumberFormat="1" applyFont="1" applyBorder="1" applyAlignment="1">
      <alignment/>
    </xf>
    <xf numFmtId="165" fontId="6" fillId="0" borderId="20" xfId="0" applyNumberFormat="1" applyFont="1" applyBorder="1" applyAlignment="1">
      <alignment/>
    </xf>
    <xf numFmtId="165" fontId="0" fillId="0" borderId="20" xfId="0" applyNumberFormat="1" applyFont="1" applyBorder="1" applyAlignment="1">
      <alignment/>
    </xf>
    <xf numFmtId="165" fontId="6" fillId="0" borderId="21" xfId="0" applyNumberFormat="1" applyFont="1" applyBorder="1" applyAlignment="1">
      <alignment/>
    </xf>
    <xf numFmtId="10" fontId="2" fillId="34" borderId="0" xfId="0" applyNumberFormat="1" applyFont="1" applyFill="1" applyAlignment="1" applyProtection="1">
      <alignment horizontal="right"/>
      <protection locked="0"/>
    </xf>
    <xf numFmtId="165" fontId="2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1" fillId="0" borderId="21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65" fontId="1" fillId="0" borderId="10" xfId="0" applyNumberFormat="1" applyFont="1" applyFill="1" applyBorder="1" applyAlignment="1">
      <alignment/>
    </xf>
    <xf numFmtId="3" fontId="0" fillId="35" borderId="0" xfId="0" applyNumberFormat="1" applyFont="1" applyFill="1" applyAlignment="1" applyProtection="1">
      <alignment/>
      <protection locked="0"/>
    </xf>
    <xf numFmtId="3" fontId="0" fillId="35" borderId="0" xfId="0" applyNumberFormat="1" applyFont="1" applyFill="1" applyBorder="1" applyAlignment="1" applyProtection="1">
      <alignment/>
      <protection locked="0"/>
    </xf>
    <xf numFmtId="0" fontId="10" fillId="34" borderId="0" xfId="0" applyFont="1" applyFill="1" applyAlignment="1" applyProtection="1">
      <alignment/>
      <protection locked="0"/>
    </xf>
    <xf numFmtId="0" fontId="1" fillId="33" borderId="19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1" fillId="33" borderId="21" xfId="0" applyNumberFormat="1" applyFont="1" applyFill="1" applyBorder="1" applyAlignment="1">
      <alignment/>
    </xf>
    <xf numFmtId="0" fontId="0" fillId="34" borderId="0" xfId="0" applyFill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14" fillId="0" borderId="23" xfId="0" applyFont="1" applyBorder="1" applyAlignment="1">
      <alignment/>
    </xf>
    <xf numFmtId="14" fontId="0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3" fontId="0" fillId="36" borderId="0" xfId="0" applyNumberFormat="1" applyFont="1" applyFill="1" applyAlignment="1" applyProtection="1">
      <alignment/>
      <protection locked="0"/>
    </xf>
    <xf numFmtId="0" fontId="6" fillId="0" borderId="0" xfId="0" applyFont="1" applyFill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2743200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="80" zoomScaleNormal="80" zoomScaleSheetLayoutView="75" zoomScalePageLayoutView="0" workbookViewId="0" topLeftCell="A1">
      <selection activeCell="A6" sqref="A6"/>
    </sheetView>
  </sheetViews>
  <sheetFormatPr defaultColWidth="9.00390625" defaultRowHeight="14.25"/>
  <cols>
    <col min="1" max="1" width="47.125" style="0" customWidth="1"/>
    <col min="2" max="2" width="11.125" style="0" customWidth="1"/>
    <col min="3" max="3" width="9.875" style="0" customWidth="1"/>
    <col min="4" max="4" width="10.25390625" style="0" customWidth="1"/>
    <col min="5" max="5" width="12.125" style="0" customWidth="1"/>
    <col min="6" max="6" width="13.875" style="0" customWidth="1"/>
  </cols>
  <sheetData>
    <row r="1" spans="1:6" ht="23.25" customHeight="1">
      <c r="A1" s="209"/>
      <c r="B1" s="210"/>
      <c r="C1" s="209"/>
      <c r="D1" s="211"/>
      <c r="E1" s="209"/>
      <c r="F1" s="209"/>
    </row>
    <row r="2" spans="1:6" ht="18" customHeight="1">
      <c r="A2" s="172" t="s">
        <v>166</v>
      </c>
      <c r="F2" s="189" t="s">
        <v>78</v>
      </c>
    </row>
    <row r="3" spans="1:6" ht="15" customHeight="1">
      <c r="A3" s="202" t="s">
        <v>167</v>
      </c>
      <c r="B3" s="208"/>
      <c r="C3" s="208"/>
      <c r="F3" s="212">
        <v>41426</v>
      </c>
    </row>
    <row r="4" spans="1:6" ht="17.25" customHeight="1">
      <c r="A4" s="94" t="s">
        <v>0</v>
      </c>
      <c r="B4" s="135" t="s">
        <v>1</v>
      </c>
      <c r="C4" s="136" t="s">
        <v>2</v>
      </c>
      <c r="D4" s="135" t="s">
        <v>3</v>
      </c>
      <c r="E4" s="137" t="s">
        <v>4</v>
      </c>
      <c r="F4" s="135" t="s">
        <v>164</v>
      </c>
    </row>
    <row r="5" spans="1:6" ht="15" customHeight="1">
      <c r="A5" s="1" t="s">
        <v>79</v>
      </c>
      <c r="B5" s="5"/>
      <c r="C5" s="6"/>
      <c r="D5" s="7"/>
      <c r="E5" s="14"/>
      <c r="F5" s="6"/>
    </row>
    <row r="6" spans="1:6" ht="15" customHeight="1">
      <c r="A6" s="141" t="s">
        <v>162</v>
      </c>
      <c r="B6" s="142" t="s">
        <v>5</v>
      </c>
      <c r="C6" s="143">
        <v>50</v>
      </c>
      <c r="D6" s="144">
        <v>0.5</v>
      </c>
      <c r="E6" s="195">
        <f aca="true" t="shared" si="0" ref="E6:E13">C6*D6</f>
        <v>25</v>
      </c>
      <c r="F6" s="6"/>
    </row>
    <row r="7" spans="1:6" ht="14.25">
      <c r="A7" s="141" t="s">
        <v>65</v>
      </c>
      <c r="B7" s="142" t="s">
        <v>9</v>
      </c>
      <c r="C7" s="143">
        <v>20.7</v>
      </c>
      <c r="D7" s="144">
        <v>5</v>
      </c>
      <c r="E7" s="20">
        <f t="shared" si="0"/>
        <v>103.5</v>
      </c>
      <c r="F7" s="6"/>
    </row>
    <row r="8" spans="1:6" ht="14.25">
      <c r="A8" s="141" t="s">
        <v>8</v>
      </c>
      <c r="B8" s="142" t="s">
        <v>9</v>
      </c>
      <c r="C8" s="143">
        <v>20.5</v>
      </c>
      <c r="D8" s="144">
        <v>3.2</v>
      </c>
      <c r="E8" s="14">
        <f t="shared" si="0"/>
        <v>65.60000000000001</v>
      </c>
      <c r="F8" s="6"/>
    </row>
    <row r="9" spans="1:6" ht="14.25">
      <c r="A9" s="141" t="s">
        <v>7</v>
      </c>
      <c r="B9" s="142" t="s">
        <v>6</v>
      </c>
      <c r="C9" s="143">
        <v>7</v>
      </c>
      <c r="D9" s="144">
        <v>2</v>
      </c>
      <c r="E9" s="14">
        <f t="shared" si="0"/>
        <v>14</v>
      </c>
      <c r="F9" s="6"/>
    </row>
    <row r="10" spans="1:6" ht="14.25">
      <c r="A10" s="188" t="s">
        <v>80</v>
      </c>
      <c r="B10" s="145" t="s">
        <v>81</v>
      </c>
      <c r="C10" s="143">
        <v>2.45</v>
      </c>
      <c r="D10" s="144">
        <v>30</v>
      </c>
      <c r="E10" s="14">
        <f t="shared" si="0"/>
        <v>73.5</v>
      </c>
      <c r="F10" s="6"/>
    </row>
    <row r="11" spans="1:6" ht="14.25">
      <c r="A11" s="141" t="s">
        <v>156</v>
      </c>
      <c r="B11" s="142" t="s">
        <v>6</v>
      </c>
      <c r="C11" s="143">
        <v>5</v>
      </c>
      <c r="D11" s="144">
        <v>1</v>
      </c>
      <c r="E11" s="14">
        <f t="shared" si="0"/>
        <v>5</v>
      </c>
      <c r="F11" s="6"/>
    </row>
    <row r="12" spans="1:6" ht="14.25">
      <c r="A12" s="141" t="s">
        <v>82</v>
      </c>
      <c r="B12" s="142" t="s">
        <v>6</v>
      </c>
      <c r="C12" s="143">
        <v>12</v>
      </c>
      <c r="D12" s="144">
        <v>2</v>
      </c>
      <c r="E12" s="14">
        <f t="shared" si="0"/>
        <v>24</v>
      </c>
      <c r="F12" s="6"/>
    </row>
    <row r="13" spans="1:6" ht="14.25">
      <c r="A13" s="141" t="s">
        <v>157</v>
      </c>
      <c r="B13" s="142" t="s">
        <v>6</v>
      </c>
      <c r="C13" s="143"/>
      <c r="D13" s="144"/>
      <c r="E13" s="14">
        <f t="shared" si="0"/>
        <v>0</v>
      </c>
      <c r="F13" s="6"/>
    </row>
    <row r="14" spans="1:6" ht="14.25">
      <c r="A14" s="6" t="s">
        <v>63</v>
      </c>
      <c r="B14" s="5"/>
      <c r="C14" s="138"/>
      <c r="D14" s="21"/>
      <c r="E14" s="20">
        <f>SUM('FixedCosts88-1'!N60:N74)</f>
        <v>14.882382790954217</v>
      </c>
      <c r="F14" s="6"/>
    </row>
    <row r="15" spans="1:6" ht="14.25">
      <c r="A15" s="141" t="s">
        <v>13</v>
      </c>
      <c r="B15" s="142" t="s">
        <v>10</v>
      </c>
      <c r="C15" s="143">
        <v>12</v>
      </c>
      <c r="D15" s="144">
        <v>0</v>
      </c>
      <c r="E15" s="20">
        <f>C15*D15</f>
        <v>0</v>
      </c>
      <c r="F15" s="6"/>
    </row>
    <row r="16" spans="1:6" ht="14.25">
      <c r="A16" s="6" t="s">
        <v>64</v>
      </c>
      <c r="B16" s="5"/>
      <c r="C16" s="138"/>
      <c r="D16" s="21"/>
      <c r="E16" s="20">
        <f>SUM('FixedCosts88-1'!L60:L74)</f>
        <v>14.460982421400992</v>
      </c>
      <c r="F16" s="6"/>
    </row>
    <row r="17" spans="1:6" ht="14.25">
      <c r="A17" s="146" t="s">
        <v>131</v>
      </c>
      <c r="B17" s="142" t="s">
        <v>6</v>
      </c>
      <c r="C17" s="143">
        <v>2</v>
      </c>
      <c r="D17" s="144">
        <v>1</v>
      </c>
      <c r="E17" s="20">
        <f>C17*D17</f>
        <v>2</v>
      </c>
      <c r="F17" s="6"/>
    </row>
    <row r="18" spans="1:6" ht="14.25">
      <c r="A18" s="6" t="s">
        <v>84</v>
      </c>
      <c r="B18" s="5" t="s">
        <v>14</v>
      </c>
      <c r="C18" s="147">
        <v>0.05</v>
      </c>
      <c r="D18" s="22">
        <f>SUM(E6:E17)*(4/12)</f>
        <v>113.98112173745176</v>
      </c>
      <c r="E18" s="14">
        <f>C18*D18</f>
        <v>5.699056086872588</v>
      </c>
      <c r="F18" s="6"/>
    </row>
    <row r="19" spans="1:6" ht="14.25">
      <c r="A19" s="90" t="s">
        <v>83</v>
      </c>
      <c r="B19" s="5"/>
      <c r="C19" s="6"/>
      <c r="D19" s="21"/>
      <c r="E19" s="196">
        <f>SUM(E6:E18)</f>
        <v>347.64242129922786</v>
      </c>
      <c r="F19" s="6"/>
    </row>
    <row r="20" spans="1:6" ht="5.25" customHeight="1">
      <c r="A20" s="203"/>
      <c r="B20" s="204"/>
      <c r="C20" s="205"/>
      <c r="D20" s="206"/>
      <c r="E20" s="207"/>
      <c r="F20" s="11"/>
    </row>
    <row r="21" spans="1:6" ht="14.25">
      <c r="A21" s="1" t="s">
        <v>89</v>
      </c>
      <c r="B21" s="5"/>
      <c r="C21" s="6"/>
      <c r="D21" s="21"/>
      <c r="E21" s="89"/>
      <c r="F21" s="86"/>
    </row>
    <row r="22" spans="1:6" ht="15" customHeight="1">
      <c r="A22" s="6" t="s">
        <v>85</v>
      </c>
      <c r="B22" s="5" t="s">
        <v>6</v>
      </c>
      <c r="C22" s="8"/>
      <c r="D22" s="21"/>
      <c r="E22" s="20">
        <f>SUM('FixedCosts88-1'!N75:N77)</f>
        <v>8.117647058823529</v>
      </c>
      <c r="F22" s="6"/>
    </row>
    <row r="23" spans="1:6" ht="14.25">
      <c r="A23" s="141" t="s">
        <v>13</v>
      </c>
      <c r="B23" s="142" t="s">
        <v>10</v>
      </c>
      <c r="C23" s="143">
        <v>12</v>
      </c>
      <c r="D23" s="144">
        <v>0</v>
      </c>
      <c r="E23" s="20">
        <f>C23*D23</f>
        <v>0</v>
      </c>
      <c r="F23" s="6"/>
    </row>
    <row r="24" spans="1:6" ht="14.25">
      <c r="A24" s="6" t="s">
        <v>168</v>
      </c>
      <c r="B24" s="5" t="s">
        <v>6</v>
      </c>
      <c r="C24" s="138"/>
      <c r="D24" s="21"/>
      <c r="E24" s="20">
        <f>SUM('FixedCosts88-1'!L75:L77)</f>
        <v>16.545941176470592</v>
      </c>
      <c r="F24" s="6"/>
    </row>
    <row r="25" spans="1:6" ht="14.25">
      <c r="A25" s="90" t="s">
        <v>124</v>
      </c>
      <c r="B25" s="5"/>
      <c r="C25" s="5"/>
      <c r="D25" s="21"/>
      <c r="E25" s="197">
        <f>SUM(E22:E24)</f>
        <v>24.66358823529412</v>
      </c>
      <c r="F25" s="86"/>
    </row>
    <row r="26" spans="1:6" ht="14.25">
      <c r="A26" s="6" t="s">
        <v>86</v>
      </c>
      <c r="B26" s="5" t="s">
        <v>6</v>
      </c>
      <c r="C26" s="138"/>
      <c r="D26" s="21"/>
      <c r="E26" s="20">
        <f>SUM('FixedCosts88-1'!N78:N84)</f>
        <v>21.755294117647058</v>
      </c>
      <c r="F26" s="6"/>
    </row>
    <row r="27" spans="1:6" ht="14.25">
      <c r="A27" s="6" t="s">
        <v>176</v>
      </c>
      <c r="B27" s="5" t="s">
        <v>6</v>
      </c>
      <c r="C27" s="138"/>
      <c r="D27" s="21"/>
      <c r="E27" s="20">
        <f>SUM('FixedCosts88-1'!L78:L84)</f>
        <v>25.50705019607843</v>
      </c>
      <c r="F27" s="6"/>
    </row>
    <row r="28" spans="1:6" ht="14.25">
      <c r="A28" s="90" t="s">
        <v>125</v>
      </c>
      <c r="B28" s="5"/>
      <c r="C28" s="5"/>
      <c r="D28" s="21"/>
      <c r="E28" s="197">
        <f>SUM(E26:E27)</f>
        <v>47.26234431372549</v>
      </c>
      <c r="F28" s="86"/>
    </row>
    <row r="29" spans="1:6" ht="14.25">
      <c r="A29" s="6" t="s">
        <v>87</v>
      </c>
      <c r="B29" s="5" t="s">
        <v>6</v>
      </c>
      <c r="C29" s="138"/>
      <c r="D29" s="21"/>
      <c r="E29" s="20">
        <f>SUM('FixedCosts88-1'!N85:N86)</f>
        <v>11.04</v>
      </c>
      <c r="F29" s="6"/>
    </row>
    <row r="30" spans="1:6" ht="14.25">
      <c r="A30" s="141" t="s">
        <v>13</v>
      </c>
      <c r="B30" s="142" t="s">
        <v>10</v>
      </c>
      <c r="C30" s="143">
        <v>12</v>
      </c>
      <c r="D30" s="144">
        <v>0.5</v>
      </c>
      <c r="E30" s="20">
        <f>C30*D30</f>
        <v>6</v>
      </c>
      <c r="F30" s="6"/>
    </row>
    <row r="31" spans="1:6" ht="13.5" customHeight="1">
      <c r="A31" s="6" t="s">
        <v>88</v>
      </c>
      <c r="B31" s="5" t="s">
        <v>6</v>
      </c>
      <c r="C31" s="138"/>
      <c r="D31" s="21"/>
      <c r="E31" s="20">
        <f>SUM('FixedCosts88-1'!L85:L86)</f>
        <v>9.264068</v>
      </c>
      <c r="F31" s="6"/>
    </row>
    <row r="32" spans="1:6" ht="14.25">
      <c r="A32" s="141" t="s">
        <v>144</v>
      </c>
      <c r="B32" s="142" t="s">
        <v>119</v>
      </c>
      <c r="C32" s="148">
        <v>0.06</v>
      </c>
      <c r="D32" s="149">
        <v>80</v>
      </c>
      <c r="E32" s="115">
        <f>C32*D32</f>
        <v>4.8</v>
      </c>
      <c r="F32" s="86"/>
    </row>
    <row r="33" spans="1:6" ht="14.25">
      <c r="A33" s="90" t="s">
        <v>126</v>
      </c>
      <c r="B33" s="5"/>
      <c r="C33" s="6"/>
      <c r="D33" s="21"/>
      <c r="E33" s="197">
        <f>SUM(E29:E32)</f>
        <v>31.104068</v>
      </c>
      <c r="F33" s="86"/>
    </row>
    <row r="34" spans="1:6" ht="14.25">
      <c r="A34" s="90" t="s">
        <v>120</v>
      </c>
      <c r="B34" s="5"/>
      <c r="C34" s="6"/>
      <c r="D34" s="21"/>
      <c r="E34" s="197">
        <f>E25+E28+E33</f>
        <v>103.03000054901962</v>
      </c>
      <c r="F34" s="86"/>
    </row>
    <row r="35" spans="1:6" ht="14.25">
      <c r="A35" s="92" t="s">
        <v>148</v>
      </c>
      <c r="B35" s="5"/>
      <c r="C35" s="6"/>
      <c r="D35" s="21"/>
      <c r="E35" s="126">
        <f>SUM('FixedCosts88-1'!O87:O88)</f>
        <v>6</v>
      </c>
      <c r="F35" s="86"/>
    </row>
    <row r="36" spans="1:6" ht="15">
      <c r="A36" s="130" t="s">
        <v>121</v>
      </c>
      <c r="B36" s="131"/>
      <c r="C36" s="93"/>
      <c r="D36" s="132"/>
      <c r="E36" s="193">
        <f>E19+E34+E35</f>
        <v>456.6724218482475</v>
      </c>
      <c r="F36" s="133"/>
    </row>
    <row r="37" spans="1:6" ht="5.25" customHeight="1">
      <c r="A37" s="139"/>
      <c r="B37" s="10"/>
      <c r="C37" s="10"/>
      <c r="D37" s="10"/>
      <c r="E37" s="23"/>
      <c r="F37" s="11"/>
    </row>
    <row r="38" spans="1:6" ht="14.25">
      <c r="A38" s="6"/>
      <c r="B38" s="6"/>
      <c r="C38" s="2"/>
      <c r="D38" s="4" t="s">
        <v>11</v>
      </c>
      <c r="E38" s="24" t="s">
        <v>4</v>
      </c>
      <c r="F38" s="2"/>
    </row>
    <row r="39" spans="1:6" ht="15" customHeight="1">
      <c r="A39" s="93" t="s">
        <v>128</v>
      </c>
      <c r="B39" s="6"/>
      <c r="C39" s="12"/>
      <c r="D39" s="8"/>
      <c r="E39" s="14"/>
      <c r="F39" s="6"/>
    </row>
    <row r="40" spans="1:6" ht="14.25" customHeight="1">
      <c r="A40" s="140" t="s">
        <v>169</v>
      </c>
      <c r="B40" s="6"/>
      <c r="C40" s="12"/>
      <c r="D40" s="8"/>
      <c r="E40" s="14"/>
      <c r="F40" s="6"/>
    </row>
    <row r="41" spans="1:6" ht="14.25">
      <c r="A41" s="6" t="s">
        <v>91</v>
      </c>
      <c r="B41" s="6"/>
      <c r="C41" s="12"/>
      <c r="D41" s="8"/>
      <c r="E41" s="20">
        <f>SUM('FixedCosts88-1'!O9:O26)</f>
        <v>19.401523336348593</v>
      </c>
      <c r="F41" s="6"/>
    </row>
    <row r="42" spans="1:6" ht="14.25">
      <c r="A42" s="6" t="s">
        <v>92</v>
      </c>
      <c r="B42" s="6"/>
      <c r="C42" s="12"/>
      <c r="D42" s="8"/>
      <c r="E42" s="20">
        <f>SUM('FixedCosts88-1'!O28:O30)</f>
        <v>46.12635176470589</v>
      </c>
      <c r="F42" s="6"/>
    </row>
    <row r="43" spans="1:6" ht="14.25">
      <c r="A43" s="92" t="s">
        <v>93</v>
      </c>
      <c r="B43" s="6"/>
      <c r="C43" s="12"/>
      <c r="D43" s="8"/>
      <c r="E43" s="20">
        <f>SUM('FixedCosts88-1'!O32:O38)</f>
        <v>32.56817916862745</v>
      </c>
      <c r="F43" s="6"/>
    </row>
    <row r="44" spans="1:6" ht="14.25">
      <c r="A44" s="92" t="s">
        <v>134</v>
      </c>
      <c r="B44" s="6"/>
      <c r="C44" s="12"/>
      <c r="D44" s="8"/>
      <c r="E44" s="20">
        <f>SUM('FixedCosts88-1'!O40:O41)</f>
        <v>4.1084768</v>
      </c>
      <c r="F44" s="6"/>
    </row>
    <row r="45" spans="1:6" ht="14.25">
      <c r="A45" s="92" t="s">
        <v>147</v>
      </c>
      <c r="B45" s="6"/>
      <c r="C45" s="12"/>
      <c r="D45" s="8"/>
      <c r="E45" s="20">
        <f>SUM('FixedCosts88-1'!O45:O46)</f>
        <v>49.199999999999996</v>
      </c>
      <c r="F45" s="6"/>
    </row>
    <row r="46" spans="1:6" ht="15">
      <c r="A46" s="94" t="s">
        <v>155</v>
      </c>
      <c r="B46" s="6"/>
      <c r="C46" s="8"/>
      <c r="D46" s="6"/>
      <c r="E46" s="198">
        <f>SUM(E41:E45)</f>
        <v>151.40453106968192</v>
      </c>
      <c r="F46" s="6"/>
    </row>
    <row r="47" spans="1:6" ht="14.25">
      <c r="A47" s="90" t="s">
        <v>111</v>
      </c>
      <c r="B47" s="95" t="s">
        <v>6</v>
      </c>
      <c r="C47" s="8"/>
      <c r="D47" s="6"/>
      <c r="E47" s="150">
        <v>0</v>
      </c>
      <c r="F47" s="6"/>
    </row>
    <row r="48" spans="1:6" ht="15">
      <c r="A48" s="94" t="s">
        <v>12</v>
      </c>
      <c r="B48" s="93"/>
      <c r="C48" s="134"/>
      <c r="D48" s="93"/>
      <c r="E48" s="198">
        <f>E36+E46+E47</f>
        <v>608.0769529179295</v>
      </c>
      <c r="F48" s="93"/>
    </row>
    <row r="49" spans="1:6" ht="5.25" customHeight="1">
      <c r="A49" s="139"/>
      <c r="B49" s="10"/>
      <c r="C49" s="10"/>
      <c r="D49" s="10"/>
      <c r="E49" s="10"/>
      <c r="F49" s="13"/>
    </row>
    <row r="50" spans="1:6" ht="15" customHeight="1">
      <c r="A50" s="6"/>
      <c r="B50" s="2" t="s">
        <v>1</v>
      </c>
      <c r="C50" s="3" t="s">
        <v>2</v>
      </c>
      <c r="D50" s="2" t="s">
        <v>113</v>
      </c>
      <c r="E50" s="4" t="s">
        <v>4</v>
      </c>
      <c r="F50" s="2"/>
    </row>
    <row r="51" spans="1:6" ht="15" customHeight="1">
      <c r="A51" s="94" t="s">
        <v>114</v>
      </c>
      <c r="B51" s="6"/>
      <c r="C51" s="6"/>
      <c r="D51" s="6"/>
      <c r="E51" s="6"/>
      <c r="F51" s="6"/>
    </row>
    <row r="52" spans="1:6" ht="14.25" customHeight="1">
      <c r="A52" s="6" t="s">
        <v>94</v>
      </c>
      <c r="B52" s="142" t="s">
        <v>5</v>
      </c>
      <c r="C52" s="151">
        <v>50</v>
      </c>
      <c r="D52" s="152">
        <v>16</v>
      </c>
      <c r="E52" s="14">
        <f>C52*D52</f>
        <v>800</v>
      </c>
      <c r="F52" s="6"/>
    </row>
    <row r="53" spans="1:6" ht="15">
      <c r="A53" s="94" t="s">
        <v>95</v>
      </c>
      <c r="B53" s="93"/>
      <c r="C53" s="93"/>
      <c r="D53" s="93"/>
      <c r="E53" s="198">
        <f>E52</f>
        <v>800</v>
      </c>
      <c r="F53" s="93"/>
    </row>
    <row r="54" spans="1:6" ht="5.25" customHeight="1">
      <c r="A54" s="15"/>
      <c r="B54" s="15"/>
      <c r="C54" s="15"/>
      <c r="D54" s="15"/>
      <c r="E54" s="25"/>
      <c r="F54" s="15"/>
    </row>
    <row r="55" spans="1:6" ht="15" customHeight="1">
      <c r="A55" s="100" t="s">
        <v>151</v>
      </c>
      <c r="B55" s="97"/>
      <c r="C55" s="97"/>
      <c r="D55" s="98"/>
      <c r="E55" s="199">
        <f>E48/D52</f>
        <v>38.00480955737059</v>
      </c>
      <c r="F55" s="9"/>
    </row>
    <row r="56" spans="1:6" ht="15" customHeight="1">
      <c r="A56" s="99" t="s">
        <v>96</v>
      </c>
      <c r="B56" s="95" t="s">
        <v>150</v>
      </c>
      <c r="C56" s="15"/>
      <c r="D56" s="153">
        <v>0.35</v>
      </c>
      <c r="E56" s="199">
        <f>E48/(D56*D52)</f>
        <v>108.58517016391599</v>
      </c>
      <c r="F56" s="9"/>
    </row>
    <row r="57" spans="1:6" ht="15" customHeight="1">
      <c r="A57" s="87" t="s">
        <v>171</v>
      </c>
      <c r="B57" s="88"/>
      <c r="C57" s="88"/>
      <c r="D57" s="96"/>
      <c r="E57" s="196">
        <f>E53-E19</f>
        <v>452.35757870077214</v>
      </c>
      <c r="F57" s="6"/>
    </row>
    <row r="58" spans="1:6" ht="15" customHeight="1">
      <c r="A58" s="87" t="s">
        <v>172</v>
      </c>
      <c r="B58" s="88"/>
      <c r="C58" s="88"/>
      <c r="D58" s="96"/>
      <c r="E58" s="196">
        <f>E53-E48</f>
        <v>191.92304708207052</v>
      </c>
      <c r="F58" s="6"/>
    </row>
    <row r="59" spans="1:6" ht="17.25" customHeight="1">
      <c r="A59" s="19" t="s">
        <v>90</v>
      </c>
      <c r="B59" s="17"/>
      <c r="C59" s="17"/>
      <c r="D59" s="17"/>
      <c r="E59" s="18"/>
      <c r="F59" s="17"/>
    </row>
    <row r="60" spans="1:6" ht="15" customHeight="1">
      <c r="A60" s="19" t="s">
        <v>118</v>
      </c>
      <c r="B60" s="17"/>
      <c r="C60" s="17"/>
      <c r="D60" s="17"/>
      <c r="E60" s="18"/>
      <c r="F60" s="17"/>
    </row>
    <row r="61" spans="1:6" ht="15" customHeight="1">
      <c r="A61" s="19" t="s">
        <v>177</v>
      </c>
      <c r="B61" s="17"/>
      <c r="C61" s="17"/>
      <c r="D61" s="17"/>
      <c r="F61" s="17"/>
    </row>
    <row r="62" spans="1:6" ht="15" customHeight="1">
      <c r="A62" s="19" t="s">
        <v>112</v>
      </c>
      <c r="B62" s="17"/>
      <c r="C62" s="17"/>
      <c r="D62" s="17"/>
      <c r="F62" s="17"/>
    </row>
    <row r="63" spans="1:6" ht="14.25">
      <c r="A63" s="17" t="s">
        <v>161</v>
      </c>
      <c r="B63" s="17"/>
      <c r="C63" s="17"/>
      <c r="D63" s="17"/>
      <c r="F63" s="17"/>
    </row>
    <row r="64" spans="1:6" ht="14.25">
      <c r="A64" s="19" t="s">
        <v>170</v>
      </c>
      <c r="B64" s="17"/>
      <c r="C64" s="17"/>
      <c r="D64" s="17"/>
      <c r="E64" s="91"/>
      <c r="F64" s="17"/>
    </row>
    <row r="65" spans="1:6" ht="8.25" customHeight="1">
      <c r="A65" s="17"/>
      <c r="B65" s="17"/>
      <c r="C65" s="17"/>
      <c r="D65" s="17"/>
      <c r="E65" s="18"/>
      <c r="F65" s="17"/>
    </row>
    <row r="66" spans="1:6" ht="14.25">
      <c r="A66" s="17" t="s">
        <v>174</v>
      </c>
      <c r="B66" s="17"/>
      <c r="C66" s="17"/>
      <c r="D66" s="17"/>
      <c r="E66" s="18"/>
      <c r="F66" s="17"/>
    </row>
    <row r="67" spans="1:6" ht="14.25">
      <c r="A67" s="17" t="s">
        <v>165</v>
      </c>
      <c r="B67" s="17"/>
      <c r="C67" s="17"/>
      <c r="D67" s="17"/>
      <c r="E67" s="18"/>
      <c r="F67" s="17"/>
    </row>
    <row r="68" spans="1:6" ht="14.25">
      <c r="A68" s="17" t="s">
        <v>175</v>
      </c>
      <c r="B68" s="17"/>
      <c r="C68" s="17"/>
      <c r="D68" s="17"/>
      <c r="E68" s="18"/>
      <c r="F68" s="17"/>
    </row>
    <row r="69" spans="1:6" ht="8.25" customHeight="1">
      <c r="A69" s="17"/>
      <c r="B69" s="17"/>
      <c r="C69" s="17"/>
      <c r="D69" s="17"/>
      <c r="E69" s="18"/>
      <c r="F69" s="17"/>
    </row>
    <row r="70" spans="2:6" ht="14.25">
      <c r="B70" s="17"/>
      <c r="C70" s="17"/>
      <c r="D70" s="17"/>
      <c r="E70" s="18"/>
      <c r="F70" s="17"/>
    </row>
    <row r="71" spans="2:6" ht="14.25">
      <c r="B71" s="17"/>
      <c r="C71" s="17"/>
      <c r="D71" s="17"/>
      <c r="E71" s="18"/>
      <c r="F71" s="17"/>
    </row>
    <row r="72" spans="1:6" ht="14.25">
      <c r="A72" s="17"/>
      <c r="B72" s="17"/>
      <c r="C72" s="17"/>
      <c r="D72" s="17"/>
      <c r="E72" s="18"/>
      <c r="F72" s="17"/>
    </row>
    <row r="73" spans="1:6" ht="14.25">
      <c r="A73" s="17"/>
      <c r="B73" s="17"/>
      <c r="C73" s="17"/>
      <c r="D73" s="17"/>
      <c r="E73" s="18"/>
      <c r="F73" s="17"/>
    </row>
    <row r="74" spans="1:6" ht="14.25">
      <c r="A74" s="17"/>
      <c r="B74" s="17"/>
      <c r="C74" s="17"/>
      <c r="D74" s="17"/>
      <c r="E74" s="18"/>
      <c r="F74" s="17"/>
    </row>
    <row r="75" spans="1:6" ht="14.25">
      <c r="A75" s="17"/>
      <c r="B75" s="17"/>
      <c r="C75" s="17"/>
      <c r="D75" s="17"/>
      <c r="E75" s="18"/>
      <c r="F75" s="17"/>
    </row>
    <row r="76" spans="1:6" ht="14.25">
      <c r="A76" s="16"/>
      <c r="B76" s="17"/>
      <c r="C76" s="17"/>
      <c r="D76" s="17"/>
      <c r="E76" s="18"/>
      <c r="F76" s="17"/>
    </row>
  </sheetData>
  <sheetProtection sheet="1" selectLockedCells="1"/>
  <printOptions horizontalCentered="1"/>
  <pageMargins left="0.7" right="0.56" top="0.55" bottom="0.4" header="0.41" footer="0.35"/>
  <pageSetup horizontalDpi="1200" verticalDpi="12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0"/>
  <sheetViews>
    <sheetView zoomScale="70" zoomScaleNormal="70" zoomScaleSheetLayoutView="66" zoomScalePageLayoutView="0" workbookViewId="0" topLeftCell="A1">
      <selection activeCell="G7" sqref="G7"/>
    </sheetView>
  </sheetViews>
  <sheetFormatPr defaultColWidth="9.00390625" defaultRowHeight="14.25"/>
  <cols>
    <col min="1" max="1" width="18.75390625" style="0" customWidth="1"/>
    <col min="2" max="2" width="7.375" style="0" customWidth="1"/>
    <col min="3" max="3" width="10.50390625" style="0" customWidth="1"/>
    <col min="4" max="4" width="9.375" style="0" customWidth="1"/>
    <col min="5" max="5" width="10.125" style="0" customWidth="1"/>
    <col min="6" max="6" width="8.25390625" style="0" customWidth="1"/>
    <col min="7" max="7" width="9.625" style="0" customWidth="1"/>
    <col min="8" max="8" width="7.875" style="0" customWidth="1"/>
    <col min="9" max="9" width="9.875" style="0" customWidth="1"/>
    <col min="10" max="10" width="8.75390625" style="0" customWidth="1"/>
    <col min="11" max="11" width="9.75390625" style="0" customWidth="1"/>
    <col min="12" max="12" width="9.50390625" style="187" customWidth="1"/>
    <col min="13" max="13" width="10.25390625" style="0" customWidth="1"/>
    <col min="14" max="14" width="8.625" style="0" customWidth="1"/>
    <col min="15" max="15" width="10.375" style="0" customWidth="1"/>
  </cols>
  <sheetData>
    <row r="1" spans="1:15" ht="15.75">
      <c r="A1" s="173" t="str">
        <f>'Budget88-1'!$A$2</f>
        <v>Corn Silage:  Estimated annual revenue, operating cost, fixed cost and net returns </v>
      </c>
      <c r="B1" s="26"/>
      <c r="C1" s="27"/>
      <c r="D1" s="27"/>
      <c r="E1" s="27"/>
      <c r="F1" s="27"/>
      <c r="G1" s="27"/>
      <c r="H1" s="28"/>
      <c r="I1" s="27"/>
      <c r="J1" s="27"/>
      <c r="K1" s="172"/>
      <c r="L1" s="46"/>
      <c r="O1" s="29" t="str">
        <f>'Budget88-1'!F2</f>
        <v>Budget 88-1</v>
      </c>
    </row>
    <row r="2" spans="1:15" ht="14.25">
      <c r="A2" s="27" t="str">
        <f>'Budget88-1'!A3</f>
        <v>per acre (No-till).</v>
      </c>
      <c r="B2" s="27"/>
      <c r="C2" s="27"/>
      <c r="D2" s="27"/>
      <c r="E2" s="27"/>
      <c r="F2" s="27"/>
      <c r="G2" s="27"/>
      <c r="H2" s="30"/>
      <c r="J2" s="27"/>
      <c r="K2" s="27"/>
      <c r="L2" s="46"/>
      <c r="O2" s="213">
        <f>'Budget88-1'!F3</f>
        <v>41426</v>
      </c>
    </row>
    <row r="3" spans="1:13" ht="15">
      <c r="A3" s="31" t="s">
        <v>15</v>
      </c>
      <c r="B3" s="31"/>
      <c r="C3" s="32"/>
      <c r="D3" s="32"/>
      <c r="E3" s="32"/>
      <c r="F3" s="32"/>
      <c r="G3" s="32"/>
      <c r="H3" s="27"/>
      <c r="I3" s="27"/>
      <c r="J3" s="27"/>
      <c r="K3" s="27"/>
      <c r="L3" s="46"/>
      <c r="M3" s="27"/>
    </row>
    <row r="4" spans="1:15" ht="17.25">
      <c r="A4" s="33" t="s">
        <v>107</v>
      </c>
      <c r="B4" s="34" t="s">
        <v>109</v>
      </c>
      <c r="C4" s="34" t="s">
        <v>17</v>
      </c>
      <c r="D4" s="34" t="s">
        <v>18</v>
      </c>
      <c r="E4" s="34" t="s">
        <v>19</v>
      </c>
      <c r="F4" s="35" t="s">
        <v>20</v>
      </c>
      <c r="G4" s="35" t="s">
        <v>21</v>
      </c>
      <c r="H4" s="34" t="s">
        <v>22</v>
      </c>
      <c r="I4" s="34" t="s">
        <v>23</v>
      </c>
      <c r="J4" s="36" t="s">
        <v>23</v>
      </c>
      <c r="K4" s="36" t="s">
        <v>24</v>
      </c>
      <c r="L4" s="180" t="s">
        <v>25</v>
      </c>
      <c r="M4" s="36" t="s">
        <v>26</v>
      </c>
      <c r="N4" s="34" t="s">
        <v>27</v>
      </c>
      <c r="O4" s="36" t="s">
        <v>28</v>
      </c>
    </row>
    <row r="5" spans="1:15" ht="17.25">
      <c r="A5" s="101" t="s">
        <v>108</v>
      </c>
      <c r="B5" s="37" t="s">
        <v>110</v>
      </c>
      <c r="C5" s="37"/>
      <c r="D5" s="37" t="s">
        <v>29</v>
      </c>
      <c r="E5" s="37" t="s">
        <v>4</v>
      </c>
      <c r="F5" s="38" t="s">
        <v>30</v>
      </c>
      <c r="G5" s="37"/>
      <c r="H5" s="38" t="s">
        <v>31</v>
      </c>
      <c r="I5" s="37" t="s">
        <v>24</v>
      </c>
      <c r="J5" s="39" t="s">
        <v>32</v>
      </c>
      <c r="K5" s="39" t="s">
        <v>33</v>
      </c>
      <c r="L5" s="181" t="s">
        <v>33</v>
      </c>
      <c r="M5" s="39" t="s">
        <v>34</v>
      </c>
      <c r="N5" s="37" t="s">
        <v>35</v>
      </c>
      <c r="O5" s="39" t="s">
        <v>26</v>
      </c>
    </row>
    <row r="6" spans="1:15" ht="14.25">
      <c r="A6" s="32"/>
      <c r="B6" s="32"/>
      <c r="C6" s="40" t="s">
        <v>36</v>
      </c>
      <c r="D6" s="40" t="s">
        <v>14</v>
      </c>
      <c r="E6" s="40" t="s">
        <v>14</v>
      </c>
      <c r="F6" s="40" t="s">
        <v>14</v>
      </c>
      <c r="G6" s="40" t="s">
        <v>14</v>
      </c>
      <c r="H6" s="40" t="s">
        <v>14</v>
      </c>
      <c r="I6" s="40" t="s">
        <v>14</v>
      </c>
      <c r="J6" s="40" t="s">
        <v>10</v>
      </c>
      <c r="K6" s="40" t="s">
        <v>14</v>
      </c>
      <c r="L6" s="182" t="s">
        <v>37</v>
      </c>
      <c r="M6" s="40" t="s">
        <v>14</v>
      </c>
      <c r="N6" s="41" t="s">
        <v>37</v>
      </c>
      <c r="O6" s="40" t="s">
        <v>38</v>
      </c>
    </row>
    <row r="7" spans="1:15" ht="14.25">
      <c r="A7" s="27" t="s">
        <v>66</v>
      </c>
      <c r="B7" s="27"/>
      <c r="C7" s="40"/>
      <c r="D7" s="40"/>
      <c r="E7" s="40"/>
      <c r="F7" s="40"/>
      <c r="G7" s="194">
        <v>0.05</v>
      </c>
      <c r="H7" s="154">
        <v>0.014</v>
      </c>
      <c r="I7" s="42"/>
      <c r="J7" s="27"/>
      <c r="K7" s="27"/>
      <c r="L7" s="46"/>
      <c r="M7" s="27"/>
      <c r="N7" s="27"/>
      <c r="O7" s="27"/>
    </row>
    <row r="8" spans="1:15" ht="14.25">
      <c r="A8" s="27" t="s">
        <v>97</v>
      </c>
      <c r="B8" s="27"/>
      <c r="C8" s="48"/>
      <c r="D8" s="44"/>
      <c r="E8" s="44"/>
      <c r="F8" s="44"/>
      <c r="G8" s="45"/>
      <c r="H8" s="45"/>
      <c r="I8" s="44"/>
      <c r="J8" s="50"/>
      <c r="K8" s="47"/>
      <c r="L8" s="183"/>
      <c r="M8" s="46"/>
      <c r="N8" s="40"/>
      <c r="O8" s="27"/>
    </row>
    <row r="9" spans="1:15" ht="14.25">
      <c r="A9" s="43" t="s">
        <v>67</v>
      </c>
      <c r="B9" s="157">
        <v>55</v>
      </c>
      <c r="C9" s="155">
        <v>10</v>
      </c>
      <c r="D9" s="156">
        <v>23150</v>
      </c>
      <c r="E9" s="200">
        <f>D9*0.31</f>
        <v>7176.5</v>
      </c>
      <c r="F9" s="44">
        <f aca="true" t="shared" si="0" ref="F9:F16">+(D9-E9)/C9</f>
        <v>1597.35</v>
      </c>
      <c r="G9" s="45">
        <f aca="true" t="shared" si="1" ref="G9:G16">+((D9+E9)/2)*$G$7</f>
        <v>758.1625</v>
      </c>
      <c r="H9" s="45">
        <f>((D9+E9)/2)*$H$7</f>
        <v>212.2855</v>
      </c>
      <c r="I9" s="45">
        <f aca="true" t="shared" si="2" ref="I9:I16">SUM(F9:H9)</f>
        <v>2567.798</v>
      </c>
      <c r="J9" s="163">
        <v>500</v>
      </c>
      <c r="K9" s="46">
        <f aca="true" t="shared" si="3" ref="K9:K18">IF(J9=0,0,I9/J9)</f>
        <v>5.135596</v>
      </c>
      <c r="L9" s="184">
        <v>3.5</v>
      </c>
      <c r="M9" s="46">
        <f aca="true" t="shared" si="4" ref="M9:M16">IF(K9&gt;0,K9/L9,0)</f>
        <v>1.4673131428571426</v>
      </c>
      <c r="N9" s="164">
        <v>0</v>
      </c>
      <c r="O9" s="46">
        <f aca="true" t="shared" si="5" ref="O9:O16">M9*N9</f>
        <v>0</v>
      </c>
    </row>
    <row r="10" spans="1:15" ht="14.25">
      <c r="A10" s="157" t="s">
        <v>98</v>
      </c>
      <c r="B10" s="43"/>
      <c r="C10" s="155">
        <v>10</v>
      </c>
      <c r="D10" s="156">
        <v>3675</v>
      </c>
      <c r="E10" s="200">
        <f>D10*0.33</f>
        <v>1212.75</v>
      </c>
      <c r="F10" s="44">
        <f t="shared" si="0"/>
        <v>246.225</v>
      </c>
      <c r="G10" s="45">
        <f t="shared" si="1"/>
        <v>122.19375000000001</v>
      </c>
      <c r="H10" s="45">
        <f aca="true" t="shared" si="6" ref="H10:H16">((D10+E10)/2)*$H$7</f>
        <v>34.21425</v>
      </c>
      <c r="I10" s="45">
        <f t="shared" si="2"/>
        <v>402.633</v>
      </c>
      <c r="J10" s="163">
        <v>100</v>
      </c>
      <c r="K10" s="46">
        <f t="shared" si="3"/>
        <v>4.02633</v>
      </c>
      <c r="L10" s="183">
        <f>L9</f>
        <v>3.5</v>
      </c>
      <c r="M10" s="46">
        <f t="shared" si="4"/>
        <v>1.15038</v>
      </c>
      <c r="N10" s="79">
        <f>N9</f>
        <v>0</v>
      </c>
      <c r="O10" s="46">
        <f t="shared" si="5"/>
        <v>0</v>
      </c>
    </row>
    <row r="11" spans="1:15" ht="14.25">
      <c r="A11" s="43" t="s">
        <v>67</v>
      </c>
      <c r="B11" s="157">
        <v>55</v>
      </c>
      <c r="C11" s="155">
        <v>10</v>
      </c>
      <c r="D11" s="156">
        <v>23150</v>
      </c>
      <c r="E11" s="200">
        <f>D11*0.31</f>
        <v>7176.5</v>
      </c>
      <c r="F11" s="44">
        <f t="shared" si="0"/>
        <v>1597.35</v>
      </c>
      <c r="G11" s="45">
        <f t="shared" si="1"/>
        <v>758.1625</v>
      </c>
      <c r="H11" s="45">
        <f t="shared" si="6"/>
        <v>212.2855</v>
      </c>
      <c r="I11" s="45">
        <f t="shared" si="2"/>
        <v>2567.798</v>
      </c>
      <c r="J11" s="163">
        <v>500</v>
      </c>
      <c r="K11" s="46">
        <f t="shared" si="3"/>
        <v>5.135596</v>
      </c>
      <c r="L11" s="184">
        <v>5.4</v>
      </c>
      <c r="M11" s="46">
        <f t="shared" si="4"/>
        <v>0.9510362962962962</v>
      </c>
      <c r="N11" s="164">
        <v>0</v>
      </c>
      <c r="O11" s="46">
        <f t="shared" si="5"/>
        <v>0</v>
      </c>
    </row>
    <row r="12" spans="1:15" ht="14.25">
      <c r="A12" s="157" t="s">
        <v>141</v>
      </c>
      <c r="B12" s="43"/>
      <c r="C12" s="155">
        <v>10</v>
      </c>
      <c r="D12" s="156">
        <v>6150</v>
      </c>
      <c r="E12" s="200">
        <f>D12*0.3</f>
        <v>1845</v>
      </c>
      <c r="F12" s="44">
        <f t="shared" si="0"/>
        <v>430.5</v>
      </c>
      <c r="G12" s="45">
        <f t="shared" si="1"/>
        <v>199.875</v>
      </c>
      <c r="H12" s="45">
        <f t="shared" si="6"/>
        <v>55.965</v>
      </c>
      <c r="I12" s="45">
        <f t="shared" si="2"/>
        <v>686.34</v>
      </c>
      <c r="J12" s="163">
        <v>100</v>
      </c>
      <c r="K12" s="46">
        <f t="shared" si="3"/>
        <v>6.8634</v>
      </c>
      <c r="L12" s="183">
        <f>L11</f>
        <v>5.4</v>
      </c>
      <c r="M12" s="46">
        <f t="shared" si="4"/>
        <v>1.271</v>
      </c>
      <c r="N12" s="79">
        <f>N11</f>
        <v>0</v>
      </c>
      <c r="O12" s="46">
        <f t="shared" si="5"/>
        <v>0</v>
      </c>
    </row>
    <row r="13" spans="1:15" ht="14.25">
      <c r="A13" s="43" t="s">
        <v>67</v>
      </c>
      <c r="B13" s="157">
        <v>35</v>
      </c>
      <c r="C13" s="155">
        <v>10</v>
      </c>
      <c r="D13" s="156">
        <v>19075</v>
      </c>
      <c r="E13" s="200">
        <f>D13*0.31</f>
        <v>5913.25</v>
      </c>
      <c r="F13" s="44">
        <f>+(D13-E13)/C13</f>
        <v>1316.175</v>
      </c>
      <c r="G13" s="45">
        <f>+((D13+E13)/2)*$G$7</f>
        <v>624.7062500000001</v>
      </c>
      <c r="H13" s="45">
        <f t="shared" si="6"/>
        <v>174.91775</v>
      </c>
      <c r="I13" s="45">
        <f>SUM(F13:H13)</f>
        <v>2115.799</v>
      </c>
      <c r="J13" s="163">
        <v>500</v>
      </c>
      <c r="K13" s="46">
        <f>IF(J13=0,0,I13/J13)</f>
        <v>4.231598</v>
      </c>
      <c r="L13" s="184">
        <v>5.4</v>
      </c>
      <c r="M13" s="46">
        <f>IF(K13&gt;0,K13/L13,0)</f>
        <v>0.7836292592592592</v>
      </c>
      <c r="N13" s="164">
        <v>0</v>
      </c>
      <c r="O13" s="46">
        <f>M13*N13</f>
        <v>0</v>
      </c>
    </row>
    <row r="14" spans="1:15" ht="14.25">
      <c r="A14" s="157" t="s">
        <v>158</v>
      </c>
      <c r="B14" s="43"/>
      <c r="C14" s="155">
        <v>10</v>
      </c>
      <c r="D14" s="156">
        <v>1500</v>
      </c>
      <c r="E14" s="200">
        <f>D14*0.3</f>
        <v>450</v>
      </c>
      <c r="F14" s="44">
        <f>+(D14-E14)/C14</f>
        <v>105</v>
      </c>
      <c r="G14" s="45">
        <f>+((D14+E14)/2)*$G$7</f>
        <v>48.75</v>
      </c>
      <c r="H14" s="45">
        <f t="shared" si="6"/>
        <v>13.65</v>
      </c>
      <c r="I14" s="45">
        <f>SUM(F14:H14)</f>
        <v>167.4</v>
      </c>
      <c r="J14" s="163">
        <v>100</v>
      </c>
      <c r="K14" s="46">
        <f>IF(J14=0,0,I14/J14)</f>
        <v>1.6740000000000002</v>
      </c>
      <c r="L14" s="183">
        <f>L13</f>
        <v>5.4</v>
      </c>
      <c r="M14" s="46">
        <f>IF(K14&gt;0,K14/L14,0)</f>
        <v>0.31</v>
      </c>
      <c r="N14" s="79">
        <f>N13</f>
        <v>0</v>
      </c>
      <c r="O14" s="46">
        <f>M14*N14</f>
        <v>0</v>
      </c>
    </row>
    <row r="15" spans="1:15" ht="14.25">
      <c r="A15" s="43" t="s">
        <v>67</v>
      </c>
      <c r="B15" s="157">
        <v>35</v>
      </c>
      <c r="C15" s="155">
        <v>10</v>
      </c>
      <c r="D15" s="156">
        <v>19075</v>
      </c>
      <c r="E15" s="200">
        <f>D15*0.31</f>
        <v>5913.25</v>
      </c>
      <c r="F15" s="44">
        <f t="shared" si="0"/>
        <v>1316.175</v>
      </c>
      <c r="G15" s="45">
        <f t="shared" si="1"/>
        <v>624.7062500000001</v>
      </c>
      <c r="H15" s="45">
        <f t="shared" si="6"/>
        <v>174.91775</v>
      </c>
      <c r="I15" s="45">
        <f t="shared" si="2"/>
        <v>2115.799</v>
      </c>
      <c r="J15" s="163">
        <v>500</v>
      </c>
      <c r="K15" s="46">
        <f t="shared" si="3"/>
        <v>4.231598</v>
      </c>
      <c r="L15" s="184">
        <v>11.1</v>
      </c>
      <c r="M15" s="46">
        <f t="shared" si="4"/>
        <v>0.38122504504504506</v>
      </c>
      <c r="N15" s="164">
        <v>1</v>
      </c>
      <c r="O15" s="46">
        <f t="shared" si="5"/>
        <v>0.38122504504504506</v>
      </c>
    </row>
    <row r="16" spans="1:15" ht="14.25">
      <c r="A16" s="157" t="s">
        <v>99</v>
      </c>
      <c r="B16" s="43"/>
      <c r="C16" s="155">
        <v>10</v>
      </c>
      <c r="D16" s="156">
        <v>2350</v>
      </c>
      <c r="E16" s="200">
        <f>D16*0.4</f>
        <v>940</v>
      </c>
      <c r="F16" s="44">
        <f t="shared" si="0"/>
        <v>141</v>
      </c>
      <c r="G16" s="45">
        <f t="shared" si="1"/>
        <v>82.25</v>
      </c>
      <c r="H16" s="45">
        <f t="shared" si="6"/>
        <v>23.03</v>
      </c>
      <c r="I16" s="45">
        <f t="shared" si="2"/>
        <v>246.28</v>
      </c>
      <c r="J16" s="163">
        <v>100</v>
      </c>
      <c r="K16" s="46">
        <f t="shared" si="3"/>
        <v>2.4628</v>
      </c>
      <c r="L16" s="183">
        <f>L15</f>
        <v>11.1</v>
      </c>
      <c r="M16" s="46">
        <f t="shared" si="4"/>
        <v>0.2218738738738739</v>
      </c>
      <c r="N16" s="79">
        <f>N15</f>
        <v>1</v>
      </c>
      <c r="O16" s="46">
        <f t="shared" si="5"/>
        <v>0.2218738738738739</v>
      </c>
    </row>
    <row r="17" spans="1:15" ht="14.25">
      <c r="A17" s="50" t="s">
        <v>115</v>
      </c>
      <c r="B17" s="43"/>
      <c r="C17" s="48"/>
      <c r="D17" s="44"/>
      <c r="E17" s="44"/>
      <c r="F17" s="44"/>
      <c r="G17" s="44"/>
      <c r="H17" s="45"/>
      <c r="I17" s="44"/>
      <c r="J17" s="78"/>
      <c r="K17" s="47"/>
      <c r="L17" s="183"/>
      <c r="M17" s="47"/>
      <c r="N17" s="79"/>
      <c r="O17" s="47"/>
    </row>
    <row r="18" spans="1:15" ht="14.25">
      <c r="A18" s="43" t="s">
        <v>67</v>
      </c>
      <c r="B18" s="157">
        <v>80</v>
      </c>
      <c r="C18" s="155">
        <v>10</v>
      </c>
      <c r="D18" s="156">
        <v>42350</v>
      </c>
      <c r="E18" s="200">
        <f>D18*0.31</f>
        <v>13128.5</v>
      </c>
      <c r="F18" s="44">
        <f>+(D18-E18)/C18</f>
        <v>2922.15</v>
      </c>
      <c r="G18" s="45">
        <f>+((D18+E18)/2)*$G$7</f>
        <v>1386.9625</v>
      </c>
      <c r="H18" s="45">
        <f>((D18+E18)/2)*$H$7</f>
        <v>388.34950000000003</v>
      </c>
      <c r="I18" s="45">
        <f>SUM(F18:H18)</f>
        <v>4697.462</v>
      </c>
      <c r="J18" s="163">
        <v>500</v>
      </c>
      <c r="K18" s="46">
        <f t="shared" si="3"/>
        <v>9.394924000000001</v>
      </c>
      <c r="L18" s="184">
        <v>4.9</v>
      </c>
      <c r="M18" s="46">
        <f>IF(K18&gt;0,K18/L18,0)</f>
        <v>1.9173314285714287</v>
      </c>
      <c r="N18" s="164">
        <v>2</v>
      </c>
      <c r="O18" s="46">
        <f>M18*N18</f>
        <v>3.8346628571428574</v>
      </c>
    </row>
    <row r="19" spans="1:15" ht="14.25">
      <c r="A19" s="157" t="s">
        <v>132</v>
      </c>
      <c r="B19" s="43"/>
      <c r="C19" s="155">
        <v>10</v>
      </c>
      <c r="D19" s="156">
        <v>25700</v>
      </c>
      <c r="E19" s="200">
        <f>D19*0.4</f>
        <v>10280</v>
      </c>
      <c r="F19" s="44">
        <f>+(D19-E19)/C19</f>
        <v>1542</v>
      </c>
      <c r="G19" s="45">
        <f>+((D19+E19)/2)*$G$7</f>
        <v>899.5</v>
      </c>
      <c r="H19" s="45">
        <f>((D19+E19)/2)*$H$7</f>
        <v>251.86</v>
      </c>
      <c r="I19" s="45">
        <f>SUM(F19:H19)</f>
        <v>2693.36</v>
      </c>
      <c r="J19" s="163">
        <v>100</v>
      </c>
      <c r="K19" s="46">
        <f>IF(J19=0,0,I19/J19)</f>
        <v>26.933600000000002</v>
      </c>
      <c r="L19" s="183">
        <f>L18</f>
        <v>4.9</v>
      </c>
      <c r="M19" s="46">
        <f>IF(K19&gt;0,K19/L19,0)</f>
        <v>5.49665306122449</v>
      </c>
      <c r="N19" s="79">
        <f>N18</f>
        <v>2</v>
      </c>
      <c r="O19" s="46">
        <f>M19*N19</f>
        <v>10.99330612244898</v>
      </c>
    </row>
    <row r="20" spans="1:15" ht="14.25">
      <c r="A20" t="s">
        <v>100</v>
      </c>
      <c r="B20" s="43"/>
      <c r="C20" s="48"/>
      <c r="D20" s="44"/>
      <c r="E20" s="44"/>
      <c r="F20" s="44"/>
      <c r="G20" s="44"/>
      <c r="H20" s="45"/>
      <c r="I20" s="44"/>
      <c r="J20" s="78"/>
      <c r="K20" s="47"/>
      <c r="L20" s="183"/>
      <c r="M20" s="47"/>
      <c r="N20" s="79"/>
      <c r="O20" s="47"/>
    </row>
    <row r="21" spans="1:15" ht="14.25">
      <c r="A21" s="43" t="s">
        <v>67</v>
      </c>
      <c r="B21" s="157">
        <v>35</v>
      </c>
      <c r="C21" s="155">
        <v>10</v>
      </c>
      <c r="D21" s="156">
        <v>19075</v>
      </c>
      <c r="E21" s="200">
        <f>D21*0.31</f>
        <v>5913.25</v>
      </c>
      <c r="F21" s="44">
        <f>+(D21-E21)/C21</f>
        <v>1316.175</v>
      </c>
      <c r="G21" s="45">
        <f>+((D21+E21)/2)*$G$7</f>
        <v>624.7062500000001</v>
      </c>
      <c r="H21" s="45">
        <f>((D21+E21)/2)*$H$7</f>
        <v>174.91775</v>
      </c>
      <c r="I21" s="45">
        <f>SUM(F21:H21)</f>
        <v>2115.799</v>
      </c>
      <c r="J21" s="163">
        <v>500</v>
      </c>
      <c r="K21" s="46">
        <f>IF(J21=0,0,I21/J21)</f>
        <v>4.231598</v>
      </c>
      <c r="L21" s="184">
        <v>11.1</v>
      </c>
      <c r="M21" s="46">
        <f>IF(K21&gt;0,K21/L21,0)</f>
        <v>0.38122504504504506</v>
      </c>
      <c r="N21" s="164">
        <v>2</v>
      </c>
      <c r="O21" s="46">
        <f>M21*N21</f>
        <v>0.7624500900900901</v>
      </c>
    </row>
    <row r="22" spans="1:15" ht="14.25">
      <c r="A22" s="157" t="s">
        <v>99</v>
      </c>
      <c r="B22" s="43"/>
      <c r="C22" s="155">
        <v>10</v>
      </c>
      <c r="D22" s="156">
        <v>2350</v>
      </c>
      <c r="E22" s="200">
        <f>D22*0.4</f>
        <v>940</v>
      </c>
      <c r="F22" s="44">
        <f>+(D22-E22)/C22</f>
        <v>141</v>
      </c>
      <c r="G22" s="45">
        <f>+((D22+E22)/2)*$G$7</f>
        <v>82.25</v>
      </c>
      <c r="H22" s="45">
        <f>((D22+E22)/2)*$H$7</f>
        <v>23.03</v>
      </c>
      <c r="I22" s="45">
        <f>SUM(F22:H22)</f>
        <v>246.28</v>
      </c>
      <c r="J22" s="163">
        <v>100</v>
      </c>
      <c r="K22" s="46">
        <f>IF(J22=0,0,I22/J22)</f>
        <v>2.4628</v>
      </c>
      <c r="L22" s="183">
        <f>L21</f>
        <v>11.1</v>
      </c>
      <c r="M22" s="46">
        <f>IF(K22&gt;0,K22/L22,0)</f>
        <v>0.2218738738738739</v>
      </c>
      <c r="N22" s="79">
        <f>N21</f>
        <v>2</v>
      </c>
      <c r="O22" s="46">
        <f>M22*N22</f>
        <v>0.4437477477477478</v>
      </c>
    </row>
    <row r="23" spans="1:15" ht="14.25">
      <c r="A23" t="s">
        <v>127</v>
      </c>
      <c r="B23" s="43"/>
      <c r="C23" s="48"/>
      <c r="D23" s="44"/>
      <c r="E23" s="44"/>
      <c r="F23" s="44"/>
      <c r="G23" s="44"/>
      <c r="H23" s="45"/>
      <c r="I23" s="44"/>
      <c r="J23" s="78"/>
      <c r="K23" s="47"/>
      <c r="L23" s="183"/>
      <c r="M23" s="47"/>
      <c r="N23" s="79"/>
      <c r="O23" s="47"/>
    </row>
    <row r="24" spans="1:15" ht="14.25">
      <c r="A24" s="43" t="s">
        <v>67</v>
      </c>
      <c r="B24" s="157">
        <v>55</v>
      </c>
      <c r="C24" s="155">
        <v>10</v>
      </c>
      <c r="D24" s="156">
        <v>23150</v>
      </c>
      <c r="E24" s="200">
        <f>D24*0.31</f>
        <v>7176.5</v>
      </c>
      <c r="F24" s="44">
        <f>+(D24-E24)/C24</f>
        <v>1597.35</v>
      </c>
      <c r="G24" s="45">
        <f>+((D24+E24)/2)*$G$7</f>
        <v>758.1625</v>
      </c>
      <c r="H24" s="45">
        <f>((D24+E24)/2)*$H$7</f>
        <v>212.2855</v>
      </c>
      <c r="I24" s="45">
        <f>SUM(F24:H24)</f>
        <v>2567.798</v>
      </c>
      <c r="J24" s="163">
        <v>500</v>
      </c>
      <c r="K24" s="46">
        <f>IF(J24=0,0,I24/J24)</f>
        <v>5.135596</v>
      </c>
      <c r="L24" s="184">
        <v>1</v>
      </c>
      <c r="M24" s="46">
        <f>IF(K24&gt;0,K24/L24,0)</f>
        <v>5.135596</v>
      </c>
      <c r="N24" s="164">
        <v>0</v>
      </c>
      <c r="O24" s="46">
        <f>M24*N24</f>
        <v>0</v>
      </c>
    </row>
    <row r="25" spans="1:15" ht="14.25">
      <c r="A25" s="157" t="s">
        <v>102</v>
      </c>
      <c r="B25" s="43"/>
      <c r="C25" s="155">
        <v>10</v>
      </c>
      <c r="D25" s="156">
        <v>0</v>
      </c>
      <c r="E25" s="200">
        <f>D25*0.33</f>
        <v>0</v>
      </c>
      <c r="F25" s="44">
        <f>+(D25-E25)/C25</f>
        <v>0</v>
      </c>
      <c r="G25" s="45">
        <f>+((D25+E25)/2)*$G$7</f>
        <v>0</v>
      </c>
      <c r="H25" s="45">
        <f>((D25+E25)/2)*$H$7</f>
        <v>0</v>
      </c>
      <c r="I25" s="45">
        <f>SUM(F25:H25)</f>
        <v>0</v>
      </c>
      <c r="J25" s="163">
        <v>100</v>
      </c>
      <c r="K25" s="46">
        <f>IF(J25=0,0,I25/J25)</f>
        <v>0</v>
      </c>
      <c r="L25" s="183">
        <f>L24</f>
        <v>1</v>
      </c>
      <c r="M25" s="46">
        <f>IF(K25&gt;0,K25/L25,0)</f>
        <v>0</v>
      </c>
      <c r="N25" s="79">
        <f>N24</f>
        <v>0</v>
      </c>
      <c r="O25" s="46">
        <f>M25*N25</f>
        <v>0</v>
      </c>
    </row>
    <row r="26" spans="1:15" ht="16.5" customHeight="1">
      <c r="A26" s="158" t="s">
        <v>68</v>
      </c>
      <c r="B26" s="81"/>
      <c r="C26" s="161">
        <v>10</v>
      </c>
      <c r="D26" s="162">
        <v>30225</v>
      </c>
      <c r="E26" s="201">
        <f>D26*0.26</f>
        <v>7858.5</v>
      </c>
      <c r="F26" s="80">
        <f>+(D26-E26)/C26</f>
        <v>2236.65</v>
      </c>
      <c r="G26" s="45">
        <f>+((D26+E26)/2)*$G$7</f>
        <v>952.0875000000001</v>
      </c>
      <c r="H26" s="214">
        <f>((D26+E26)/2)*$H$7</f>
        <v>266.5845</v>
      </c>
      <c r="I26" s="61">
        <f>SUM(F26:H26)</f>
        <v>3455.322</v>
      </c>
      <c r="J26" s="163">
        <v>500</v>
      </c>
      <c r="K26" s="46">
        <f>IF(J26=0,0,I26/J26)</f>
        <v>6.9106440000000005</v>
      </c>
      <c r="L26" s="184">
        <v>10</v>
      </c>
      <c r="M26" s="46">
        <f>IF(K26&gt;0,K26/L26,0)</f>
        <v>0.6910644</v>
      </c>
      <c r="N26" s="164">
        <v>4</v>
      </c>
      <c r="O26" s="46">
        <f>M26*N26</f>
        <v>2.7642576</v>
      </c>
    </row>
    <row r="27" spans="1:15" ht="16.5" customHeight="1">
      <c r="A27" t="s">
        <v>101</v>
      </c>
      <c r="B27" s="43"/>
      <c r="C27" s="48"/>
      <c r="D27" s="44"/>
      <c r="E27" s="44"/>
      <c r="F27" s="44"/>
      <c r="G27" s="44"/>
      <c r="H27" s="45"/>
      <c r="I27" s="44"/>
      <c r="J27" s="78"/>
      <c r="K27" s="47"/>
      <c r="L27" s="183"/>
      <c r="M27" s="47"/>
      <c r="N27" s="79"/>
      <c r="O27" s="47"/>
    </row>
    <row r="28" spans="1:15" ht="16.5" customHeight="1">
      <c r="A28" s="43" t="s">
        <v>103</v>
      </c>
      <c r="B28" s="160">
        <v>450</v>
      </c>
      <c r="C28" s="155">
        <v>5</v>
      </c>
      <c r="D28" s="156">
        <v>348800</v>
      </c>
      <c r="E28" s="200">
        <f>D28*0.25</f>
        <v>87200</v>
      </c>
      <c r="F28" s="44">
        <f>+(D28-E28)/C28</f>
        <v>52320</v>
      </c>
      <c r="G28" s="45">
        <f>+((D28+E28)/2)*$G$7</f>
        <v>10900</v>
      </c>
      <c r="H28" s="45">
        <f>((D28+E28)/2)*$H$7</f>
        <v>3052</v>
      </c>
      <c r="I28" s="45">
        <f>SUM(F28:H28)</f>
        <v>66272</v>
      </c>
      <c r="J28" s="163">
        <v>150</v>
      </c>
      <c r="K28" s="46">
        <f>IF(J28=0,0,I28/J28)</f>
        <v>441.81333333333333</v>
      </c>
      <c r="L28" s="184">
        <v>14</v>
      </c>
      <c r="M28" s="46">
        <f>IF(K28&gt;0,K28/L28,0)</f>
        <v>31.558095238095238</v>
      </c>
      <c r="N28" s="164">
        <v>0</v>
      </c>
      <c r="O28" s="46">
        <f>M28*N28</f>
        <v>0</v>
      </c>
    </row>
    <row r="29" spans="1:15" ht="14.25">
      <c r="A29" s="43" t="s">
        <v>67</v>
      </c>
      <c r="B29" s="160">
        <v>100</v>
      </c>
      <c r="C29" s="155">
        <v>10</v>
      </c>
      <c r="D29" s="156">
        <v>60475</v>
      </c>
      <c r="E29" s="200">
        <f>D29*0.37</f>
        <v>22375.75</v>
      </c>
      <c r="F29" s="44">
        <f>+(D29-E29)/C29</f>
        <v>3809.925</v>
      </c>
      <c r="G29" s="45">
        <f>+((D29+E29)/2)*$G$7</f>
        <v>2071.26875</v>
      </c>
      <c r="H29" s="45">
        <f>((D29+E29)/2)*$H$7</f>
        <v>579.95525</v>
      </c>
      <c r="I29" s="45">
        <f>SUM(F29:H29)</f>
        <v>6461.149</v>
      </c>
      <c r="J29" s="163">
        <v>500</v>
      </c>
      <c r="K29" s="46">
        <f>IF(J29=0,0,I29/J29)</f>
        <v>12.922298000000001</v>
      </c>
      <c r="L29" s="184">
        <v>1.7</v>
      </c>
      <c r="M29" s="46">
        <f>IF(K29&gt;0,K29/L29,0)</f>
        <v>7.601351764705884</v>
      </c>
      <c r="N29" s="164">
        <v>1</v>
      </c>
      <c r="O29" s="46">
        <f>M29*N29</f>
        <v>7.601351764705884</v>
      </c>
    </row>
    <row r="30" spans="1:15" ht="14.25">
      <c r="A30" s="158" t="s">
        <v>129</v>
      </c>
      <c r="B30" s="81"/>
      <c r="C30" s="161">
        <v>10</v>
      </c>
      <c r="D30" s="162">
        <v>56950</v>
      </c>
      <c r="E30" s="200">
        <f>D30*0.25</f>
        <v>14237.5</v>
      </c>
      <c r="F30" s="80">
        <f>+(D30-E30)/C30</f>
        <v>4271.25</v>
      </c>
      <c r="G30" s="45">
        <f>+((D30+E30)/2)*$G$7</f>
        <v>1779.6875</v>
      </c>
      <c r="H30" s="45">
        <f>((D30+E30)/2)*$H$7</f>
        <v>498.3125</v>
      </c>
      <c r="I30" s="61">
        <f>SUM(F30:H30)</f>
        <v>6549.25</v>
      </c>
      <c r="J30" s="163">
        <v>100</v>
      </c>
      <c r="K30" s="46">
        <f>IF(J30=0,0,I30/J30)</f>
        <v>65.4925</v>
      </c>
      <c r="L30" s="183">
        <f>L29</f>
        <v>1.7</v>
      </c>
      <c r="M30" s="46">
        <f>IF(K30&gt;0,K30/L30,0)</f>
        <v>38.525000000000006</v>
      </c>
      <c r="N30" s="79">
        <v>1</v>
      </c>
      <c r="O30" s="46">
        <f>M30*N30</f>
        <v>38.525000000000006</v>
      </c>
    </row>
    <row r="31" spans="1:15" ht="14.25">
      <c r="A31" s="27" t="s">
        <v>104</v>
      </c>
      <c r="B31" s="27"/>
      <c r="C31" s="48"/>
      <c r="D31" s="44"/>
      <c r="E31" s="44"/>
      <c r="F31" s="44"/>
      <c r="G31" s="45"/>
      <c r="H31" s="45"/>
      <c r="I31" s="44"/>
      <c r="J31" s="50"/>
      <c r="K31" s="47"/>
      <c r="L31" s="183"/>
      <c r="M31" s="46"/>
      <c r="N31" s="40"/>
      <c r="O31" s="27"/>
    </row>
    <row r="32" spans="1:15" ht="14.25">
      <c r="A32" s="159" t="s">
        <v>133</v>
      </c>
      <c r="C32" s="155">
        <v>5</v>
      </c>
      <c r="D32" s="156">
        <v>20000</v>
      </c>
      <c r="E32" s="200">
        <f>D32*0.25</f>
        <v>5000</v>
      </c>
      <c r="F32" s="44">
        <f aca="true" t="shared" si="7" ref="F32:F38">+(D32-E32)/C32</f>
        <v>3000</v>
      </c>
      <c r="G32" s="45">
        <f aca="true" t="shared" si="8" ref="G32:G38">+((D32+E32)/2)*$G$7</f>
        <v>625</v>
      </c>
      <c r="H32" s="45">
        <f aca="true" t="shared" si="9" ref="H32:H38">((D32+E32)/2)*$H$7</f>
        <v>175</v>
      </c>
      <c r="I32" s="45">
        <f aca="true" t="shared" si="10" ref="I32:I38">SUM(F32:H32)</f>
        <v>3800</v>
      </c>
      <c r="J32" s="163">
        <v>150</v>
      </c>
      <c r="K32" s="46">
        <f aca="true" t="shared" si="11" ref="K32:K38">IF(J32=0,0,I32/J32)</f>
        <v>25.333333333333332</v>
      </c>
      <c r="L32" s="184">
        <v>1.7</v>
      </c>
      <c r="M32" s="46">
        <f aca="true" t="shared" si="12" ref="M32:M38">IF(K32&gt;0,K32/L32,0)</f>
        <v>14.901960784313726</v>
      </c>
      <c r="N32" s="164">
        <v>1</v>
      </c>
      <c r="O32" s="46">
        <f aca="true" t="shared" si="13" ref="O32:O38">M32*N32</f>
        <v>14.901960784313726</v>
      </c>
    </row>
    <row r="33" spans="1:15" ht="14.25">
      <c r="A33" s="159" t="s">
        <v>133</v>
      </c>
      <c r="C33" s="155">
        <v>5</v>
      </c>
      <c r="D33" s="156">
        <v>20000</v>
      </c>
      <c r="E33" s="200">
        <f>D33*0.25</f>
        <v>5000</v>
      </c>
      <c r="F33" s="44">
        <f t="shared" si="7"/>
        <v>3000</v>
      </c>
      <c r="G33" s="45">
        <f t="shared" si="8"/>
        <v>625</v>
      </c>
      <c r="H33" s="45">
        <f t="shared" si="9"/>
        <v>175</v>
      </c>
      <c r="I33" s="45">
        <f t="shared" si="10"/>
        <v>3800</v>
      </c>
      <c r="J33" s="163">
        <v>150</v>
      </c>
      <c r="K33" s="46">
        <f t="shared" si="11"/>
        <v>25.333333333333332</v>
      </c>
      <c r="L33" s="184">
        <v>1.7</v>
      </c>
      <c r="M33" s="46">
        <f t="shared" si="12"/>
        <v>14.901960784313726</v>
      </c>
      <c r="N33" s="164">
        <v>1</v>
      </c>
      <c r="O33" s="46">
        <f t="shared" si="13"/>
        <v>14.901960784313726</v>
      </c>
    </row>
    <row r="34" spans="1:15" ht="13.5" customHeight="1">
      <c r="A34" s="49" t="s">
        <v>106</v>
      </c>
      <c r="B34" s="160">
        <v>55</v>
      </c>
      <c r="C34" s="155">
        <v>10</v>
      </c>
      <c r="D34" s="156">
        <v>23150</v>
      </c>
      <c r="E34" s="200">
        <f>D34*0.31</f>
        <v>7176.5</v>
      </c>
      <c r="F34" s="44">
        <f t="shared" si="7"/>
        <v>1597.35</v>
      </c>
      <c r="G34" s="45">
        <f t="shared" si="8"/>
        <v>758.1625</v>
      </c>
      <c r="H34" s="45">
        <f t="shared" si="9"/>
        <v>212.2855</v>
      </c>
      <c r="I34" s="45">
        <f t="shared" si="10"/>
        <v>2567.798</v>
      </c>
      <c r="J34" s="163">
        <v>500</v>
      </c>
      <c r="K34" s="46">
        <f t="shared" si="11"/>
        <v>5.135596</v>
      </c>
      <c r="L34" s="184">
        <v>1.7</v>
      </c>
      <c r="M34" s="46">
        <f t="shared" si="12"/>
        <v>3.0209388235294115</v>
      </c>
      <c r="N34" s="164">
        <v>0</v>
      </c>
      <c r="O34" s="46">
        <f t="shared" si="13"/>
        <v>0</v>
      </c>
    </row>
    <row r="35" spans="1:15" ht="14.25">
      <c r="A35" s="157" t="s">
        <v>105</v>
      </c>
      <c r="B35" s="43"/>
      <c r="C35" s="155">
        <v>10</v>
      </c>
      <c r="D35" s="156">
        <v>10450</v>
      </c>
      <c r="E35" s="200">
        <f>D35*0.35</f>
        <v>3657.4999999999995</v>
      </c>
      <c r="F35" s="44">
        <f t="shared" si="7"/>
        <v>679.25</v>
      </c>
      <c r="G35" s="45">
        <f t="shared" si="8"/>
        <v>352.6875</v>
      </c>
      <c r="H35" s="45">
        <f t="shared" si="9"/>
        <v>98.7525</v>
      </c>
      <c r="I35" s="45">
        <f t="shared" si="10"/>
        <v>1130.69</v>
      </c>
      <c r="J35" s="163">
        <v>100</v>
      </c>
      <c r="K35" s="46">
        <f t="shared" si="11"/>
        <v>11.3069</v>
      </c>
      <c r="L35" s="183">
        <f>L34</f>
        <v>1.7</v>
      </c>
      <c r="M35" s="46">
        <f t="shared" si="12"/>
        <v>6.6511176470588245</v>
      </c>
      <c r="N35" s="79">
        <f>N34</f>
        <v>0</v>
      </c>
      <c r="O35" s="46">
        <f t="shared" si="13"/>
        <v>0</v>
      </c>
    </row>
    <row r="36" spans="1:15" ht="14.25">
      <c r="A36" s="49" t="s">
        <v>106</v>
      </c>
      <c r="B36" s="160">
        <v>55</v>
      </c>
      <c r="C36" s="155">
        <v>10</v>
      </c>
      <c r="D36" s="156">
        <v>23150</v>
      </c>
      <c r="E36" s="200">
        <f>D36*0.31</f>
        <v>7176.5</v>
      </c>
      <c r="F36" s="44">
        <f t="shared" si="7"/>
        <v>1597.35</v>
      </c>
      <c r="G36" s="45">
        <f t="shared" si="8"/>
        <v>758.1625</v>
      </c>
      <c r="H36" s="45">
        <f t="shared" si="9"/>
        <v>212.2855</v>
      </c>
      <c r="I36" s="45">
        <f t="shared" si="10"/>
        <v>2567.798</v>
      </c>
      <c r="J36" s="163">
        <v>500</v>
      </c>
      <c r="K36" s="46">
        <f t="shared" si="11"/>
        <v>5.135596</v>
      </c>
      <c r="L36" s="184">
        <v>1.7</v>
      </c>
      <c r="M36" s="46">
        <f t="shared" si="12"/>
        <v>3.0209388235294115</v>
      </c>
      <c r="N36" s="164">
        <v>0</v>
      </c>
      <c r="O36" s="46">
        <f t="shared" si="13"/>
        <v>0</v>
      </c>
    </row>
    <row r="37" spans="1:15" ht="14.25">
      <c r="A37" s="157" t="s">
        <v>105</v>
      </c>
      <c r="B37" s="43"/>
      <c r="C37" s="155">
        <v>10</v>
      </c>
      <c r="D37" s="156">
        <v>10450</v>
      </c>
      <c r="E37" s="200">
        <f>D37*0.35</f>
        <v>3657.4999999999995</v>
      </c>
      <c r="F37" s="44">
        <f t="shared" si="7"/>
        <v>679.25</v>
      </c>
      <c r="G37" s="45">
        <f t="shared" si="8"/>
        <v>352.6875</v>
      </c>
      <c r="H37" s="45">
        <f t="shared" si="9"/>
        <v>98.7525</v>
      </c>
      <c r="I37" s="45">
        <f t="shared" si="10"/>
        <v>1130.69</v>
      </c>
      <c r="J37" s="163">
        <v>100</v>
      </c>
      <c r="K37" s="46">
        <f t="shared" si="11"/>
        <v>11.3069</v>
      </c>
      <c r="L37" s="183">
        <f>L36</f>
        <v>1.7</v>
      </c>
      <c r="M37" s="46">
        <f t="shared" si="12"/>
        <v>6.6511176470588245</v>
      </c>
      <c r="N37" s="79">
        <f>N36</f>
        <v>0</v>
      </c>
      <c r="O37" s="46">
        <f t="shared" si="13"/>
        <v>0</v>
      </c>
    </row>
    <row r="38" spans="1:15" ht="14.25">
      <c r="A38" s="158" t="s">
        <v>68</v>
      </c>
      <c r="B38" s="81"/>
      <c r="C38" s="161">
        <v>10</v>
      </c>
      <c r="D38" s="162">
        <v>30225</v>
      </c>
      <c r="E38" s="201">
        <f>D38*0.26</f>
        <v>7858.5</v>
      </c>
      <c r="F38" s="80">
        <f t="shared" si="7"/>
        <v>2236.65</v>
      </c>
      <c r="G38" s="45">
        <f t="shared" si="8"/>
        <v>952.0875000000001</v>
      </c>
      <c r="H38" s="214">
        <f t="shared" si="9"/>
        <v>266.5845</v>
      </c>
      <c r="I38" s="61">
        <f t="shared" si="10"/>
        <v>3455.322</v>
      </c>
      <c r="J38" s="163">
        <v>500</v>
      </c>
      <c r="K38" s="46">
        <f t="shared" si="11"/>
        <v>6.9106440000000005</v>
      </c>
      <c r="L38" s="184">
        <v>10</v>
      </c>
      <c r="M38" s="46">
        <f t="shared" si="12"/>
        <v>0.6910644</v>
      </c>
      <c r="N38" s="164">
        <v>4</v>
      </c>
      <c r="O38" s="46">
        <f t="shared" si="13"/>
        <v>2.7642576</v>
      </c>
    </row>
    <row r="39" spans="1:15" ht="14.25">
      <c r="A39" s="81" t="s">
        <v>123</v>
      </c>
      <c r="B39" s="81"/>
      <c r="C39" s="82"/>
      <c r="D39" s="80"/>
      <c r="E39" s="80"/>
      <c r="F39" s="80"/>
      <c r="G39" s="44"/>
      <c r="H39" s="45"/>
      <c r="I39" s="80"/>
      <c r="J39" s="78"/>
      <c r="K39" s="47"/>
      <c r="L39" s="183"/>
      <c r="M39" s="47"/>
      <c r="N39" s="79"/>
      <c r="O39" s="47"/>
    </row>
    <row r="40" spans="1:15" ht="14.25">
      <c r="A40" s="43" t="s">
        <v>67</v>
      </c>
      <c r="B40" s="157">
        <v>55</v>
      </c>
      <c r="C40" s="155">
        <v>10</v>
      </c>
      <c r="D40" s="156">
        <v>23150</v>
      </c>
      <c r="E40" s="200">
        <f>D40*0.31</f>
        <v>7176.5</v>
      </c>
      <c r="F40" s="44">
        <f>+(D40-E40)/C40</f>
        <v>1597.35</v>
      </c>
      <c r="G40" s="45">
        <f>+((D40+E40)/2)*$G$7</f>
        <v>758.1625</v>
      </c>
      <c r="H40" s="45">
        <f>((D40+E40)/2)*$H$7</f>
        <v>212.2855</v>
      </c>
      <c r="I40" s="45">
        <f>SUM(F40:H40)</f>
        <v>2567.798</v>
      </c>
      <c r="J40" s="163">
        <v>500</v>
      </c>
      <c r="K40" s="46">
        <f>IF(J40=0,0,I40/J40)</f>
        <v>5.135596</v>
      </c>
      <c r="L40" s="184">
        <v>1.25</v>
      </c>
      <c r="M40" s="46">
        <f>IF(K40&gt;0,K40/L40,0)</f>
        <v>4.1084768</v>
      </c>
      <c r="N40" s="164">
        <v>1</v>
      </c>
      <c r="O40" s="46">
        <f>M40*N40</f>
        <v>4.1084768</v>
      </c>
    </row>
    <row r="41" spans="1:15" ht="14.25">
      <c r="A41" s="157" t="s">
        <v>122</v>
      </c>
      <c r="B41" s="43"/>
      <c r="C41" s="155">
        <v>10</v>
      </c>
      <c r="D41" s="156">
        <v>0</v>
      </c>
      <c r="E41" s="200">
        <f>D41*0.35</f>
        <v>0</v>
      </c>
      <c r="F41" s="44">
        <f>+(D41-E41)/C41</f>
        <v>0</v>
      </c>
      <c r="G41" s="45">
        <f>+((D41+E41)/2)*$G$7</f>
        <v>0</v>
      </c>
      <c r="H41" s="45">
        <f>((D41+E41)/2)*$H$7</f>
        <v>0</v>
      </c>
      <c r="I41" s="45">
        <f>SUM(F41:H41)</f>
        <v>0</v>
      </c>
      <c r="J41" s="163">
        <v>100</v>
      </c>
      <c r="K41" s="46">
        <f>IF(J41=0,0,I41/J41)</f>
        <v>0</v>
      </c>
      <c r="L41" s="183">
        <f>L40</f>
        <v>1.25</v>
      </c>
      <c r="M41" s="46">
        <f>IF(K41&gt;0,K41/L41,0)</f>
        <v>0</v>
      </c>
      <c r="N41" s="164">
        <v>0</v>
      </c>
      <c r="O41" s="46">
        <f>M41*N41</f>
        <v>0</v>
      </c>
    </row>
    <row r="42" spans="1:15" ht="8.25" customHeight="1">
      <c r="A42" s="43"/>
      <c r="B42" s="43"/>
      <c r="C42" s="48"/>
      <c r="D42" s="44"/>
      <c r="E42" s="44"/>
      <c r="F42" s="44"/>
      <c r="G42" s="44"/>
      <c r="H42" s="44"/>
      <c r="I42" s="44"/>
      <c r="J42" s="78"/>
      <c r="K42" s="47"/>
      <c r="L42" s="183"/>
      <c r="M42" s="47"/>
      <c r="N42" s="79"/>
      <c r="O42" s="47"/>
    </row>
    <row r="43" spans="1:15" ht="15">
      <c r="A43" s="118"/>
      <c r="B43" s="119"/>
      <c r="C43" s="119"/>
      <c r="D43" s="119"/>
      <c r="E43" s="119"/>
      <c r="F43" s="120"/>
      <c r="G43" s="120"/>
      <c r="H43" s="119"/>
      <c r="I43" s="119"/>
      <c r="J43" s="121" t="s">
        <v>136</v>
      </c>
      <c r="K43" s="121" t="s">
        <v>26</v>
      </c>
      <c r="L43" s="185"/>
      <c r="M43" s="127"/>
      <c r="N43" s="121"/>
      <c r="O43" s="121"/>
    </row>
    <row r="44" spans="1:15" ht="14.25" customHeight="1">
      <c r="A44" s="101"/>
      <c r="B44" s="37"/>
      <c r="C44" s="37"/>
      <c r="D44" s="37"/>
      <c r="E44" s="37"/>
      <c r="F44" s="38"/>
      <c r="G44" s="37"/>
      <c r="H44" s="38"/>
      <c r="I44" s="37"/>
      <c r="J44" s="39" t="s">
        <v>25</v>
      </c>
      <c r="K44" s="39" t="s">
        <v>137</v>
      </c>
      <c r="L44" s="181"/>
      <c r="M44" s="128"/>
      <c r="N44" s="39"/>
      <c r="O44" s="39"/>
    </row>
    <row r="45" spans="1:15" ht="14.25">
      <c r="A45" s="160" t="s">
        <v>146</v>
      </c>
      <c r="B45" s="43"/>
      <c r="C45" s="155">
        <v>20</v>
      </c>
      <c r="D45" s="174">
        <v>40000</v>
      </c>
      <c r="E45" s="174">
        <v>0</v>
      </c>
      <c r="F45" s="175">
        <f>+(D45-E45)/C45</f>
        <v>2000</v>
      </c>
      <c r="G45" s="176">
        <f>+((D45+E45)/2)*$G$7</f>
        <v>1000</v>
      </c>
      <c r="H45" s="45">
        <f>((D45+E45)/2)*$H$7</f>
        <v>280</v>
      </c>
      <c r="I45" s="176">
        <f>SUM(F45:H45)</f>
        <v>3280</v>
      </c>
      <c r="J45" s="163">
        <v>100</v>
      </c>
      <c r="K45" s="47">
        <f>I45/J45</f>
        <v>32.8</v>
      </c>
      <c r="L45" s="186"/>
      <c r="M45" s="60"/>
      <c r="N45" s="117"/>
      <c r="O45" s="47">
        <f>K45</f>
        <v>32.8</v>
      </c>
    </row>
    <row r="46" spans="1:15" ht="16.5">
      <c r="A46" s="160" t="s">
        <v>135</v>
      </c>
      <c r="B46" s="43"/>
      <c r="C46" s="155">
        <v>20</v>
      </c>
      <c r="D46" s="174">
        <v>20000</v>
      </c>
      <c r="E46" s="174">
        <v>0</v>
      </c>
      <c r="F46" s="175">
        <f>+(D46-E46)/C46</f>
        <v>1000</v>
      </c>
      <c r="G46" s="176">
        <f>+((D46+E46)/2)*$G$7</f>
        <v>500</v>
      </c>
      <c r="H46" s="45">
        <f>((D46+E46)/2)*$H$7</f>
        <v>140</v>
      </c>
      <c r="I46" s="176">
        <f>SUM(F46:H46)</f>
        <v>1640</v>
      </c>
      <c r="J46" s="163">
        <v>100</v>
      </c>
      <c r="K46" s="47">
        <f>I46/J46</f>
        <v>16.4</v>
      </c>
      <c r="L46" s="186"/>
      <c r="M46" s="60"/>
      <c r="N46" s="117"/>
      <c r="O46" s="47">
        <f>K46</f>
        <v>16.4</v>
      </c>
    </row>
    <row r="47" spans="1:15" ht="16.5" customHeight="1">
      <c r="A47" s="57" t="s">
        <v>163</v>
      </c>
      <c r="B47" s="57"/>
      <c r="C47" s="57"/>
      <c r="D47" s="51"/>
      <c r="E47" s="51"/>
      <c r="F47" s="51"/>
      <c r="G47" s="51"/>
      <c r="H47" s="51"/>
      <c r="I47" s="51"/>
      <c r="J47" s="51"/>
      <c r="K47" s="52"/>
      <c r="L47" s="106"/>
      <c r="M47" s="129"/>
      <c r="N47" s="129"/>
      <c r="O47" s="190">
        <f>SUM(O9:O46)</f>
        <v>151.40453106968195</v>
      </c>
    </row>
    <row r="48" spans="1:15" ht="16.5">
      <c r="A48" s="112" t="s">
        <v>40</v>
      </c>
      <c r="B48" s="112"/>
      <c r="C48" s="57"/>
      <c r="D48" s="57"/>
      <c r="E48" s="57"/>
      <c r="F48" s="57"/>
      <c r="G48" s="57"/>
      <c r="H48" s="57"/>
      <c r="I48" s="57"/>
      <c r="J48" s="57"/>
      <c r="K48" s="57"/>
      <c r="L48" s="105"/>
      <c r="M48" s="57"/>
      <c r="N48" s="53"/>
      <c r="O48" s="53"/>
    </row>
    <row r="49" spans="1:13" ht="16.5">
      <c r="A49" s="54" t="s">
        <v>41</v>
      </c>
      <c r="B49" s="54"/>
      <c r="C49" s="27"/>
      <c r="D49" s="27"/>
      <c r="E49" s="27"/>
      <c r="F49" s="27"/>
      <c r="G49" s="27"/>
      <c r="H49" s="27"/>
      <c r="I49" s="27"/>
      <c r="J49" s="27"/>
      <c r="K49" s="27"/>
      <c r="L49" s="46"/>
      <c r="M49" s="27"/>
    </row>
    <row r="50" spans="1:13" ht="16.5">
      <c r="A50" s="54" t="s">
        <v>42</v>
      </c>
      <c r="B50" s="54"/>
      <c r="C50" s="27"/>
      <c r="D50" s="27"/>
      <c r="E50" s="27"/>
      <c r="F50" s="27"/>
      <c r="G50" s="27"/>
      <c r="H50" s="27"/>
      <c r="I50" s="27"/>
      <c r="J50" s="27"/>
      <c r="K50" s="27"/>
      <c r="L50" s="46"/>
      <c r="M50" s="27"/>
    </row>
    <row r="51" spans="1:13" ht="16.5">
      <c r="A51" s="55" t="s">
        <v>43</v>
      </c>
      <c r="B51" s="55"/>
      <c r="C51" s="27"/>
      <c r="D51" s="27"/>
      <c r="E51" s="27"/>
      <c r="F51" s="27"/>
      <c r="G51" s="27"/>
      <c r="H51" s="27"/>
      <c r="I51" s="27"/>
      <c r="J51" s="27"/>
      <c r="K51" s="27"/>
      <c r="L51" s="46"/>
      <c r="M51" s="27"/>
    </row>
    <row r="52" spans="1:13" ht="16.5">
      <c r="A52" s="55" t="s">
        <v>44</v>
      </c>
      <c r="B52" s="55"/>
      <c r="C52" s="27"/>
      <c r="D52" s="27"/>
      <c r="E52" s="27"/>
      <c r="F52" s="27"/>
      <c r="G52" s="27"/>
      <c r="H52" s="27"/>
      <c r="I52" s="27"/>
      <c r="J52" s="27"/>
      <c r="K52" s="27"/>
      <c r="L52" s="46"/>
      <c r="M52" s="27"/>
    </row>
    <row r="53" spans="1:13" ht="16.5">
      <c r="A53" s="56" t="s">
        <v>142</v>
      </c>
      <c r="B53" s="56"/>
      <c r="C53" s="27"/>
      <c r="D53" s="27"/>
      <c r="E53" s="27"/>
      <c r="F53" s="27"/>
      <c r="G53" s="27"/>
      <c r="H53" s="27"/>
      <c r="I53" s="27"/>
      <c r="J53" s="27"/>
      <c r="K53" s="27"/>
      <c r="L53" s="46"/>
      <c r="M53" s="27"/>
    </row>
    <row r="54" spans="1:15" ht="14.25">
      <c r="A54" s="53"/>
      <c r="B54" s="53"/>
      <c r="C54" s="57"/>
      <c r="D54" s="57"/>
      <c r="E54" s="57"/>
      <c r="F54" s="57"/>
      <c r="G54" s="57"/>
      <c r="H54" s="57"/>
      <c r="I54" s="57"/>
      <c r="J54" s="57"/>
      <c r="K54" s="57"/>
      <c r="L54" s="105"/>
      <c r="M54" s="57"/>
      <c r="N54" s="53"/>
      <c r="O54" s="53"/>
    </row>
    <row r="55" spans="1:13" ht="15">
      <c r="A55" s="31" t="s">
        <v>45</v>
      </c>
      <c r="B55" s="31"/>
      <c r="C55" s="32"/>
      <c r="D55" s="32"/>
      <c r="E55" s="32"/>
      <c r="F55" s="32"/>
      <c r="G55" s="32"/>
      <c r="H55" s="27"/>
      <c r="I55" s="27"/>
      <c r="J55" s="27"/>
      <c r="K55" s="27"/>
      <c r="L55" s="46"/>
      <c r="M55" s="27"/>
    </row>
    <row r="56" spans="1:15" ht="15">
      <c r="A56" s="33" t="s">
        <v>16</v>
      </c>
      <c r="B56" s="34"/>
      <c r="C56" s="34" t="s">
        <v>46</v>
      </c>
      <c r="D56" s="34" t="s">
        <v>46</v>
      </c>
      <c r="E56" s="34" t="s">
        <v>46</v>
      </c>
      <c r="F56" s="34" t="s">
        <v>47</v>
      </c>
      <c r="G56" s="34" t="s">
        <v>29</v>
      </c>
      <c r="H56" s="34" t="s">
        <v>70</v>
      </c>
      <c r="I56" s="34" t="s">
        <v>116</v>
      </c>
      <c r="J56" s="36" t="s">
        <v>25</v>
      </c>
      <c r="K56" s="34" t="s">
        <v>27</v>
      </c>
      <c r="L56" s="180" t="s">
        <v>139</v>
      </c>
      <c r="M56" s="36" t="s">
        <v>48</v>
      </c>
      <c r="N56" s="36" t="s">
        <v>48</v>
      </c>
      <c r="O56" s="36" t="s">
        <v>28</v>
      </c>
    </row>
    <row r="57" spans="1:15" ht="17.25">
      <c r="A57" s="37"/>
      <c r="B57" s="37"/>
      <c r="C57" s="38" t="s">
        <v>49</v>
      </c>
      <c r="D57" s="37" t="s">
        <v>50</v>
      </c>
      <c r="E57" s="37" t="s">
        <v>51</v>
      </c>
      <c r="F57" s="37" t="s">
        <v>32</v>
      </c>
      <c r="G57" s="37" t="s">
        <v>52</v>
      </c>
      <c r="H57" s="37" t="s">
        <v>71</v>
      </c>
      <c r="I57" s="37" t="s">
        <v>117</v>
      </c>
      <c r="J57" s="39" t="s">
        <v>33</v>
      </c>
      <c r="K57" s="37" t="s">
        <v>53</v>
      </c>
      <c r="L57" s="181" t="s">
        <v>140</v>
      </c>
      <c r="M57" s="39" t="s">
        <v>29</v>
      </c>
      <c r="N57" s="39" t="s">
        <v>74</v>
      </c>
      <c r="O57" s="39" t="s">
        <v>26</v>
      </c>
    </row>
    <row r="58" spans="1:15" ht="13.5" customHeight="1">
      <c r="A58" s="32"/>
      <c r="B58" s="32"/>
      <c r="C58" s="40" t="s">
        <v>54</v>
      </c>
      <c r="D58" s="40" t="s">
        <v>55</v>
      </c>
      <c r="E58" s="40" t="s">
        <v>56</v>
      </c>
      <c r="F58" s="40" t="s">
        <v>57</v>
      </c>
      <c r="G58" s="40" t="s">
        <v>14</v>
      </c>
      <c r="H58" s="40" t="s">
        <v>56</v>
      </c>
      <c r="I58" s="40" t="s">
        <v>56</v>
      </c>
      <c r="J58" s="40" t="s">
        <v>37</v>
      </c>
      <c r="K58" s="41" t="s">
        <v>37</v>
      </c>
      <c r="L58" s="182" t="s">
        <v>38</v>
      </c>
      <c r="M58" s="40" t="s">
        <v>56</v>
      </c>
      <c r="N58" s="40" t="s">
        <v>38</v>
      </c>
      <c r="O58" s="40" t="s">
        <v>38</v>
      </c>
    </row>
    <row r="59" spans="1:15" ht="14.25">
      <c r="A59" s="27" t="s">
        <v>69</v>
      </c>
      <c r="B59" s="27"/>
      <c r="F59" s="40"/>
      <c r="G59" s="166">
        <v>3.45</v>
      </c>
      <c r="H59" s="42"/>
      <c r="I59" s="42"/>
      <c r="J59" s="27"/>
      <c r="K59" s="27"/>
      <c r="L59" s="46"/>
      <c r="M59" s="168">
        <v>12</v>
      </c>
      <c r="N59" s="27"/>
      <c r="O59" s="27"/>
    </row>
    <row r="60" spans="1:15" ht="14.25">
      <c r="A60" s="27" t="str">
        <f>A9</f>
        <v>  Tractor, HP=</v>
      </c>
      <c r="B60" s="111">
        <f>B9</f>
        <v>55</v>
      </c>
      <c r="C60" s="165">
        <v>0.02</v>
      </c>
      <c r="D60" s="45">
        <f aca="true" t="shared" si="14" ref="D60:D67">D9*C60</f>
        <v>463</v>
      </c>
      <c r="E60" s="58">
        <f aca="true" t="shared" si="15" ref="E60:E67">IF(D60&gt;0,D60/J9,0)</f>
        <v>0.926</v>
      </c>
      <c r="F60" s="50">
        <f>B60*0.044</f>
        <v>2.42</v>
      </c>
      <c r="G60" s="59">
        <f>$G$59</f>
        <v>3.45</v>
      </c>
      <c r="H60" s="58">
        <f>(F60*G60)*1.15</f>
        <v>9.60135</v>
      </c>
      <c r="I60" s="58">
        <f aca="true" t="shared" si="16" ref="I60:I84">E60+H60</f>
        <v>10.52735</v>
      </c>
      <c r="J60" s="84">
        <f aca="true" t="shared" si="17" ref="J60:J67">L9</f>
        <v>3.5</v>
      </c>
      <c r="K60" s="40">
        <f aca="true" t="shared" si="18" ref="K60:K67">N9</f>
        <v>0</v>
      </c>
      <c r="L60" s="46">
        <f>IF(K60&gt;0,(I60/J60)*K60*1.1,0)</f>
        <v>0</v>
      </c>
      <c r="M60" s="47">
        <f>$M$59</f>
        <v>12</v>
      </c>
      <c r="N60" s="46">
        <f>IF(K60&gt;0,(M60/J60)*K60*1.15,0)</f>
        <v>0</v>
      </c>
      <c r="O60" s="46">
        <f>L60+N60</f>
        <v>0</v>
      </c>
    </row>
    <row r="61" spans="1:15" ht="14.25">
      <c r="A61" s="27" t="str">
        <f aca="true" t="shared" si="19" ref="A61:A67">A10</f>
        <v>  + Chisel plow</v>
      </c>
      <c r="B61" s="111"/>
      <c r="C61" s="165">
        <v>0.03</v>
      </c>
      <c r="D61" s="45">
        <f t="shared" si="14"/>
        <v>110.25</v>
      </c>
      <c r="E61" s="58">
        <f t="shared" si="15"/>
        <v>1.1025</v>
      </c>
      <c r="F61" s="50">
        <v>0</v>
      </c>
      <c r="G61" s="59"/>
      <c r="H61" s="58"/>
      <c r="I61" s="58">
        <f t="shared" si="16"/>
        <v>1.1025</v>
      </c>
      <c r="J61" s="84">
        <f t="shared" si="17"/>
        <v>3.5</v>
      </c>
      <c r="K61" s="40">
        <f t="shared" si="18"/>
        <v>0</v>
      </c>
      <c r="L61" s="46">
        <f aca="true" t="shared" si="20" ref="L61:L86">IF(K61&gt;0,(I61/J61)*K61*1.1,0)</f>
        <v>0</v>
      </c>
      <c r="M61" s="60"/>
      <c r="N61" s="60"/>
      <c r="O61" s="46">
        <f aca="true" t="shared" si="21" ref="O61:O84">L61+N61</f>
        <v>0</v>
      </c>
    </row>
    <row r="62" spans="1:15" ht="14.25">
      <c r="A62" s="27" t="str">
        <f t="shared" si="19"/>
        <v>  Tractor, HP=</v>
      </c>
      <c r="B62" s="111">
        <f>B11</f>
        <v>55</v>
      </c>
      <c r="C62" s="165">
        <v>0.02</v>
      </c>
      <c r="D62" s="45">
        <f t="shared" si="14"/>
        <v>463</v>
      </c>
      <c r="E62" s="58">
        <f t="shared" si="15"/>
        <v>0.926</v>
      </c>
      <c r="F62" s="50">
        <f>B62*0.044</f>
        <v>2.42</v>
      </c>
      <c r="G62" s="59">
        <f>$G$59</f>
        <v>3.45</v>
      </c>
      <c r="H62" s="58">
        <f>(F62*G62)*1.15</f>
        <v>9.60135</v>
      </c>
      <c r="I62" s="58">
        <f>E62+H62</f>
        <v>10.52735</v>
      </c>
      <c r="J62" s="84">
        <f t="shared" si="17"/>
        <v>5.4</v>
      </c>
      <c r="K62" s="40">
        <f t="shared" si="18"/>
        <v>0</v>
      </c>
      <c r="L62" s="46">
        <f t="shared" si="20"/>
        <v>0</v>
      </c>
      <c r="M62" s="47">
        <f>$M$59</f>
        <v>12</v>
      </c>
      <c r="N62" s="46">
        <f>IF(K62&gt;0,(M62/J62)*K62*1.15,0)</f>
        <v>0</v>
      </c>
      <c r="O62" s="46">
        <f>L62+N62</f>
        <v>0</v>
      </c>
    </row>
    <row r="63" spans="1:15" ht="14.25">
      <c r="A63" s="27" t="str">
        <f t="shared" si="19"/>
        <v>  + Disc</v>
      </c>
      <c r="B63" s="111"/>
      <c r="C63" s="165">
        <v>0.02</v>
      </c>
      <c r="D63" s="45">
        <f t="shared" si="14"/>
        <v>123</v>
      </c>
      <c r="E63" s="58">
        <f t="shared" si="15"/>
        <v>1.23</v>
      </c>
      <c r="F63" s="50">
        <v>0</v>
      </c>
      <c r="G63" s="59"/>
      <c r="H63" s="58"/>
      <c r="I63" s="58">
        <f>E63+H63</f>
        <v>1.23</v>
      </c>
      <c r="J63" s="84">
        <f t="shared" si="17"/>
        <v>5.4</v>
      </c>
      <c r="K63" s="40">
        <f t="shared" si="18"/>
        <v>0</v>
      </c>
      <c r="L63" s="46">
        <f t="shared" si="20"/>
        <v>0</v>
      </c>
      <c r="M63" s="60"/>
      <c r="N63" s="60"/>
      <c r="O63" s="46">
        <f>L63+N63</f>
        <v>0</v>
      </c>
    </row>
    <row r="64" spans="1:15" ht="14.25">
      <c r="A64" s="27" t="str">
        <f t="shared" si="19"/>
        <v>  Tractor, HP=</v>
      </c>
      <c r="B64" s="111">
        <f>B13</f>
        <v>35</v>
      </c>
      <c r="C64" s="165">
        <v>0.02</v>
      </c>
      <c r="D64" s="45">
        <f t="shared" si="14"/>
        <v>381.5</v>
      </c>
      <c r="E64" s="58">
        <f t="shared" si="15"/>
        <v>0.763</v>
      </c>
      <c r="F64" s="50">
        <f>B64*0.044</f>
        <v>1.5399999999999998</v>
      </c>
      <c r="G64" s="59">
        <f>$G$59</f>
        <v>3.45</v>
      </c>
      <c r="H64" s="58">
        <f>(F64*G64)*1.15</f>
        <v>6.1099499999999995</v>
      </c>
      <c r="I64" s="58">
        <f>E64+H64</f>
        <v>6.8729499999999994</v>
      </c>
      <c r="J64" s="84">
        <f t="shared" si="17"/>
        <v>5.4</v>
      </c>
      <c r="K64" s="40">
        <f t="shared" si="18"/>
        <v>0</v>
      </c>
      <c r="L64" s="46">
        <f>IF(K64&gt;0,(I64/J64)*K64*1.1,0)</f>
        <v>0</v>
      </c>
      <c r="M64" s="47">
        <f>$M$59</f>
        <v>12</v>
      </c>
      <c r="N64" s="46">
        <f>IF(K64&gt;0,(M64/J64)*K64*1.15,0)</f>
        <v>0</v>
      </c>
      <c r="O64" s="46">
        <f>L64+N64</f>
        <v>0</v>
      </c>
    </row>
    <row r="65" spans="1:15" ht="14.25">
      <c r="A65" s="27" t="str">
        <f t="shared" si="19"/>
        <v>  + Harrow</v>
      </c>
      <c r="B65" s="111"/>
      <c r="C65" s="165">
        <v>0.03</v>
      </c>
      <c r="D65" s="45">
        <f t="shared" si="14"/>
        <v>45</v>
      </c>
      <c r="E65" s="58">
        <f t="shared" si="15"/>
        <v>0.45</v>
      </c>
      <c r="F65" s="50">
        <v>0</v>
      </c>
      <c r="G65" s="59"/>
      <c r="H65" s="58"/>
      <c r="I65" s="58">
        <f>E65+H65</f>
        <v>0.45</v>
      </c>
      <c r="J65" s="84">
        <f t="shared" si="17"/>
        <v>5.4</v>
      </c>
      <c r="K65" s="40">
        <f t="shared" si="18"/>
        <v>0</v>
      </c>
      <c r="L65" s="46">
        <f>IF(K65&gt;0,(I65/J65)*K65*1.1,0)</f>
        <v>0</v>
      </c>
      <c r="M65" s="60"/>
      <c r="N65" s="60"/>
      <c r="O65" s="46">
        <f>L65+N65</f>
        <v>0</v>
      </c>
    </row>
    <row r="66" spans="1:15" ht="14.25">
      <c r="A66" s="27" t="str">
        <f t="shared" si="19"/>
        <v>  Tractor, HP=</v>
      </c>
      <c r="B66" s="111">
        <f>B15</f>
        <v>35</v>
      </c>
      <c r="C66" s="165">
        <v>0.02</v>
      </c>
      <c r="D66" s="45">
        <f t="shared" si="14"/>
        <v>381.5</v>
      </c>
      <c r="E66" s="58">
        <f t="shared" si="15"/>
        <v>0.763</v>
      </c>
      <c r="F66" s="50">
        <f>B66*0.044</f>
        <v>1.5399999999999998</v>
      </c>
      <c r="G66" s="59">
        <f>$G$59</f>
        <v>3.45</v>
      </c>
      <c r="H66" s="58">
        <f aca="true" t="shared" si="22" ref="H66:H84">(F66*G66)*1.15</f>
        <v>6.1099499999999995</v>
      </c>
      <c r="I66" s="58">
        <f t="shared" si="16"/>
        <v>6.8729499999999994</v>
      </c>
      <c r="J66" s="84">
        <f t="shared" si="17"/>
        <v>11.1</v>
      </c>
      <c r="K66" s="40">
        <f t="shared" si="18"/>
        <v>1</v>
      </c>
      <c r="L66" s="46">
        <f t="shared" si="20"/>
        <v>0.6811031531531532</v>
      </c>
      <c r="M66" s="47">
        <f>$M$59</f>
        <v>12</v>
      </c>
      <c r="N66" s="46">
        <f>IF(K66&gt;0,(M66/J66)*K66*1.15,0)</f>
        <v>1.2432432432432432</v>
      </c>
      <c r="O66" s="46">
        <f t="shared" si="21"/>
        <v>1.9243463963963965</v>
      </c>
    </row>
    <row r="67" spans="1:15" ht="14.25">
      <c r="A67" s="27" t="str">
        <f t="shared" si="19"/>
        <v>  + Sprayer</v>
      </c>
      <c r="B67" s="111"/>
      <c r="C67" s="165">
        <v>0.03</v>
      </c>
      <c r="D67" s="45">
        <f t="shared" si="14"/>
        <v>70.5</v>
      </c>
      <c r="E67" s="58">
        <f t="shared" si="15"/>
        <v>0.705</v>
      </c>
      <c r="F67" s="50">
        <v>0</v>
      </c>
      <c r="G67" s="59"/>
      <c r="H67" s="58"/>
      <c r="I67" s="58">
        <f t="shared" si="16"/>
        <v>0.705</v>
      </c>
      <c r="J67" s="84">
        <f t="shared" si="17"/>
        <v>11.1</v>
      </c>
      <c r="K67" s="40">
        <f t="shared" si="18"/>
        <v>1</v>
      </c>
      <c r="L67" s="46">
        <f t="shared" si="20"/>
        <v>0.06986486486486487</v>
      </c>
      <c r="M67" s="60"/>
      <c r="N67" s="60"/>
      <c r="O67" s="46">
        <f t="shared" si="21"/>
        <v>0.06986486486486487</v>
      </c>
    </row>
    <row r="68" spans="1:15" ht="14.25">
      <c r="A68" s="27" t="str">
        <f>A18</f>
        <v>  Tractor, HP=</v>
      </c>
      <c r="B68" s="111">
        <f>B18</f>
        <v>80</v>
      </c>
      <c r="C68" s="165">
        <v>0.02</v>
      </c>
      <c r="D68" s="45">
        <f>D18*C68</f>
        <v>847</v>
      </c>
      <c r="E68" s="58">
        <f>IF(D68&gt;0,D68/J18,0)</f>
        <v>1.694</v>
      </c>
      <c r="F68" s="50">
        <f>B68*0.044</f>
        <v>3.5199999999999996</v>
      </c>
      <c r="G68" s="59">
        <f>$G$59</f>
        <v>3.45</v>
      </c>
      <c r="H68" s="58">
        <f t="shared" si="22"/>
        <v>13.965599999999997</v>
      </c>
      <c r="I68" s="58">
        <f t="shared" si="16"/>
        <v>15.659599999999998</v>
      </c>
      <c r="J68" s="84">
        <f>L18</f>
        <v>4.9</v>
      </c>
      <c r="K68" s="40">
        <f>N18</f>
        <v>2</v>
      </c>
      <c r="L68" s="46">
        <f t="shared" si="20"/>
        <v>7.0308408163265295</v>
      </c>
      <c r="M68" s="47">
        <f>$M$59</f>
        <v>12</v>
      </c>
      <c r="N68" s="46">
        <f>IF(K68&gt;0,(M68/J68)*K68*1.15,0)</f>
        <v>5.632653061224488</v>
      </c>
      <c r="O68" s="46">
        <f t="shared" si="21"/>
        <v>12.663493877551018</v>
      </c>
    </row>
    <row r="69" spans="1:15" ht="14.25">
      <c r="A69" s="27" t="str">
        <f>A19</f>
        <v>  + Planter/drill</v>
      </c>
      <c r="B69" s="111"/>
      <c r="C69" s="165">
        <v>0.01</v>
      </c>
      <c r="D69" s="45">
        <f>D19*C69</f>
        <v>257</v>
      </c>
      <c r="E69" s="58">
        <f>IF(D69&gt;0,D69/J19,0)</f>
        <v>2.57</v>
      </c>
      <c r="F69" s="50">
        <v>0</v>
      </c>
      <c r="G69" s="59"/>
      <c r="H69" s="58"/>
      <c r="I69" s="58">
        <f t="shared" si="16"/>
        <v>2.57</v>
      </c>
      <c r="J69" s="84">
        <f>L19</f>
        <v>4.9</v>
      </c>
      <c r="K69" s="40">
        <f>N19</f>
        <v>2</v>
      </c>
      <c r="L69" s="46">
        <f t="shared" si="20"/>
        <v>1.1538775510204082</v>
      </c>
      <c r="M69" s="60"/>
      <c r="N69" s="60"/>
      <c r="O69" s="46">
        <f t="shared" si="21"/>
        <v>1.1538775510204082</v>
      </c>
    </row>
    <row r="70" spans="1:15" ht="14.25">
      <c r="A70" s="27" t="str">
        <f>A21</f>
        <v>  Tractor, HP=</v>
      </c>
      <c r="B70" s="111">
        <f>B21</f>
        <v>35</v>
      </c>
      <c r="C70" s="165">
        <v>0.02</v>
      </c>
      <c r="D70" s="45">
        <f>D21*C70</f>
        <v>381.5</v>
      </c>
      <c r="E70" s="58">
        <f>IF(D70&gt;0,D70/J21,0)</f>
        <v>0.763</v>
      </c>
      <c r="F70" s="50">
        <f>B70*0.044</f>
        <v>1.5399999999999998</v>
      </c>
      <c r="G70" s="59">
        <f>$G$59</f>
        <v>3.45</v>
      </c>
      <c r="H70" s="58">
        <f t="shared" si="22"/>
        <v>6.1099499999999995</v>
      </c>
      <c r="I70" s="58">
        <f t="shared" si="16"/>
        <v>6.8729499999999994</v>
      </c>
      <c r="J70" s="84">
        <f>L21</f>
        <v>11.1</v>
      </c>
      <c r="K70" s="40">
        <f>N21</f>
        <v>2</v>
      </c>
      <c r="L70" s="46">
        <f t="shared" si="20"/>
        <v>1.3622063063063063</v>
      </c>
      <c r="M70" s="47">
        <f>$M$59</f>
        <v>12</v>
      </c>
      <c r="N70" s="46">
        <f>IF(K70&gt;0,(M70/J70)*K70*1.15,0)</f>
        <v>2.4864864864864864</v>
      </c>
      <c r="O70" s="46">
        <f t="shared" si="21"/>
        <v>3.848692792792793</v>
      </c>
    </row>
    <row r="71" spans="1:15" ht="14.25">
      <c r="A71" s="27" t="str">
        <f>A22</f>
        <v>  + Sprayer</v>
      </c>
      <c r="B71" s="111"/>
      <c r="C71" s="165">
        <v>0.03</v>
      </c>
      <c r="D71" s="45">
        <f>D22*C71</f>
        <v>70.5</v>
      </c>
      <c r="E71" s="58">
        <f>IF(D71&gt;0,D71/J22,0)</f>
        <v>0.705</v>
      </c>
      <c r="F71" s="50">
        <v>0</v>
      </c>
      <c r="G71" s="59"/>
      <c r="H71" s="58"/>
      <c r="I71" s="58">
        <f t="shared" si="16"/>
        <v>0.705</v>
      </c>
      <c r="J71" s="84">
        <f>L22</f>
        <v>11.1</v>
      </c>
      <c r="K71" s="40">
        <f>N22</f>
        <v>2</v>
      </c>
      <c r="L71" s="46">
        <f t="shared" si="20"/>
        <v>0.13972972972972975</v>
      </c>
      <c r="M71" s="60"/>
      <c r="N71" s="60"/>
      <c r="O71" s="46">
        <f t="shared" si="21"/>
        <v>0.13972972972972975</v>
      </c>
    </row>
    <row r="72" spans="1:15" ht="14.25">
      <c r="A72" s="27" t="str">
        <f>A24</f>
        <v>  Tractor, HP=</v>
      </c>
      <c r="B72" s="111">
        <f>B24</f>
        <v>55</v>
      </c>
      <c r="C72" s="165">
        <v>0.02</v>
      </c>
      <c r="D72" s="45">
        <f>D24*C72</f>
        <v>463</v>
      </c>
      <c r="E72" s="58">
        <f>IF(D72&gt;0,D72/J24,0)</f>
        <v>0.926</v>
      </c>
      <c r="F72" s="50">
        <f>B72*0.044</f>
        <v>2.42</v>
      </c>
      <c r="G72" s="59">
        <f>$G$59</f>
        <v>3.45</v>
      </c>
      <c r="H72" s="58">
        <f t="shared" si="22"/>
        <v>9.60135</v>
      </c>
      <c r="I72" s="58">
        <f t="shared" si="16"/>
        <v>10.52735</v>
      </c>
      <c r="J72" s="84">
        <f>L24</f>
        <v>1</v>
      </c>
      <c r="K72" s="40">
        <f>N24</f>
        <v>0</v>
      </c>
      <c r="L72" s="46">
        <f t="shared" si="20"/>
        <v>0</v>
      </c>
      <c r="M72" s="47">
        <f>$M$59</f>
        <v>12</v>
      </c>
      <c r="N72" s="46">
        <f>IF(K72&gt;0,(M72/J72)*K72*1.15,0)</f>
        <v>0</v>
      </c>
      <c r="O72" s="46">
        <f t="shared" si="21"/>
        <v>0</v>
      </c>
    </row>
    <row r="73" spans="1:15" ht="14.25">
      <c r="A73" s="27" t="str">
        <f>A25</f>
        <v>  + Implement</v>
      </c>
      <c r="B73" s="111"/>
      <c r="C73" s="165">
        <v>0.02</v>
      </c>
      <c r="D73" s="45">
        <f>D25*C73</f>
        <v>0</v>
      </c>
      <c r="E73" s="58">
        <f>IF(D73&gt;0,D73/J25,0)</f>
        <v>0</v>
      </c>
      <c r="F73" s="50">
        <v>0</v>
      </c>
      <c r="G73" s="59"/>
      <c r="H73" s="58"/>
      <c r="I73" s="58">
        <f t="shared" si="16"/>
        <v>0</v>
      </c>
      <c r="J73" s="84">
        <f>L25</f>
        <v>1</v>
      </c>
      <c r="K73" s="40">
        <f>N25</f>
        <v>0</v>
      </c>
      <c r="L73" s="46">
        <f t="shared" si="20"/>
        <v>0</v>
      </c>
      <c r="M73" s="60"/>
      <c r="N73" s="60"/>
      <c r="O73" s="46">
        <f t="shared" si="21"/>
        <v>0</v>
      </c>
    </row>
    <row r="74" spans="1:15" ht="14.25">
      <c r="A74" s="27" t="str">
        <f>A26</f>
        <v>  Pickup Truck, 3/4 Ton</v>
      </c>
      <c r="B74" s="110"/>
      <c r="C74" s="165">
        <v>0.02</v>
      </c>
      <c r="D74" s="45">
        <f>D26*C74</f>
        <v>604.5</v>
      </c>
      <c r="E74" s="58">
        <f>IF(D74&gt;0,D74/J26,0)</f>
        <v>1.209</v>
      </c>
      <c r="F74" s="116">
        <v>2</v>
      </c>
      <c r="G74" s="59">
        <f>$G$59</f>
        <v>3.45</v>
      </c>
      <c r="H74" s="58">
        <f t="shared" si="22"/>
        <v>7.935</v>
      </c>
      <c r="I74" s="58">
        <f t="shared" si="16"/>
        <v>9.144</v>
      </c>
      <c r="J74" s="84">
        <f>L26</f>
        <v>10</v>
      </c>
      <c r="K74" s="41">
        <f>N26</f>
        <v>4</v>
      </c>
      <c r="L74" s="46">
        <f t="shared" si="20"/>
        <v>4.02336</v>
      </c>
      <c r="M74" s="47">
        <f>$M$59</f>
        <v>12</v>
      </c>
      <c r="N74" s="46">
        <f>IF(K74&gt;0,(M74/J74)*K74*1.15,0)</f>
        <v>5.52</v>
      </c>
      <c r="O74" s="46">
        <f t="shared" si="21"/>
        <v>9.54336</v>
      </c>
    </row>
    <row r="75" spans="1:15" ht="14.25">
      <c r="A75" s="27" t="str">
        <f>A28</f>
        <v>  Self-propelled, HP=</v>
      </c>
      <c r="B75" s="110">
        <f>B28</f>
        <v>450</v>
      </c>
      <c r="C75" s="165">
        <v>0.01</v>
      </c>
      <c r="D75" s="45">
        <f>D28*C75</f>
        <v>3488</v>
      </c>
      <c r="E75" s="58">
        <f>IF(D75&gt;0,D75/J28,0)</f>
        <v>23.253333333333334</v>
      </c>
      <c r="F75" s="50">
        <f>B75*0.044</f>
        <v>19.799999999999997</v>
      </c>
      <c r="G75" s="59">
        <f>$G$59</f>
        <v>3.45</v>
      </c>
      <c r="H75" s="58">
        <f t="shared" si="22"/>
        <v>78.55649999999999</v>
      </c>
      <c r="I75" s="58">
        <f t="shared" si="16"/>
        <v>101.80983333333332</v>
      </c>
      <c r="J75" s="84">
        <f>L28</f>
        <v>14</v>
      </c>
      <c r="K75" s="40">
        <f>N28</f>
        <v>0</v>
      </c>
      <c r="L75" s="46">
        <f t="shared" si="20"/>
        <v>0</v>
      </c>
      <c r="M75" s="47">
        <f>$M$59</f>
        <v>12</v>
      </c>
      <c r="N75" s="46">
        <f>IF(K75&gt;0,(M75/J75)*K75*1.15,0)</f>
        <v>0</v>
      </c>
      <c r="O75" s="46">
        <f t="shared" si="21"/>
        <v>0</v>
      </c>
    </row>
    <row r="76" spans="1:15" ht="14.25">
      <c r="A76" s="27" t="str">
        <f>A29</f>
        <v>  Tractor, HP=</v>
      </c>
      <c r="B76" s="110">
        <f>B29</f>
        <v>100</v>
      </c>
      <c r="C76" s="165">
        <v>0.02</v>
      </c>
      <c r="D76" s="45">
        <f>D29*C76</f>
        <v>1209.5</v>
      </c>
      <c r="E76" s="58">
        <f>IF(D76&gt;0,D76/J29,0)</f>
        <v>2.419</v>
      </c>
      <c r="F76" s="50">
        <f>B76*0.044</f>
        <v>4.3999999999999995</v>
      </c>
      <c r="G76" s="59">
        <f>$G$59</f>
        <v>3.45</v>
      </c>
      <c r="H76" s="58">
        <f t="shared" si="22"/>
        <v>17.456999999999997</v>
      </c>
      <c r="I76" s="58">
        <f t="shared" si="16"/>
        <v>19.875999999999998</v>
      </c>
      <c r="J76" s="84">
        <f>L29</f>
        <v>1.7</v>
      </c>
      <c r="K76" s="40">
        <f>N29</f>
        <v>1</v>
      </c>
      <c r="L76" s="46">
        <f t="shared" si="20"/>
        <v>12.86094117647059</v>
      </c>
      <c r="M76" s="47">
        <f>$M$59</f>
        <v>12</v>
      </c>
      <c r="N76" s="46">
        <f>IF(K76&gt;0,(M76/J76)*K76*1.15,0)</f>
        <v>8.117647058823529</v>
      </c>
      <c r="O76" s="46">
        <f t="shared" si="21"/>
        <v>20.97858823529412</v>
      </c>
    </row>
    <row r="77" spans="1:15" ht="14.25">
      <c r="A77" s="27" t="str">
        <f>A30</f>
        <v>  + Pull Harvester</v>
      </c>
      <c r="B77" s="110"/>
      <c r="C77" s="165">
        <v>0.01</v>
      </c>
      <c r="D77" s="45">
        <f>D30*C77</f>
        <v>569.5</v>
      </c>
      <c r="E77" s="58">
        <f>IF(D77&gt;0,D77/J30,0)</f>
        <v>5.695</v>
      </c>
      <c r="F77" s="50">
        <v>0</v>
      </c>
      <c r="G77" s="59"/>
      <c r="H77" s="58"/>
      <c r="I77" s="58">
        <f t="shared" si="16"/>
        <v>5.695</v>
      </c>
      <c r="J77" s="84">
        <f>L30</f>
        <v>1.7</v>
      </c>
      <c r="K77" s="40">
        <f>N30</f>
        <v>1</v>
      </c>
      <c r="L77" s="46">
        <f t="shared" si="20"/>
        <v>3.6850000000000005</v>
      </c>
      <c r="M77" s="60"/>
      <c r="N77" s="60"/>
      <c r="O77" s="46">
        <f t="shared" si="21"/>
        <v>3.6850000000000005</v>
      </c>
    </row>
    <row r="78" spans="1:15" ht="14.25">
      <c r="A78" s="27" t="str">
        <f aca="true" t="shared" si="23" ref="A78:A84">A32</f>
        <v>   Truck, used</v>
      </c>
      <c r="B78" s="110"/>
      <c r="C78" s="165">
        <v>0.04</v>
      </c>
      <c r="D78" s="45">
        <f aca="true" t="shared" si="24" ref="D78:D84">D32*C78</f>
        <v>800</v>
      </c>
      <c r="E78" s="58">
        <f aca="true" t="shared" si="25" ref="E78:E84">IF(D78&gt;0,D78/J32,0)</f>
        <v>5.333333333333333</v>
      </c>
      <c r="F78" s="116">
        <v>2.5</v>
      </c>
      <c r="G78" s="59">
        <f>$G$59</f>
        <v>3.45</v>
      </c>
      <c r="H78" s="58">
        <f t="shared" si="22"/>
        <v>9.91875</v>
      </c>
      <c r="I78" s="58">
        <f t="shared" si="16"/>
        <v>15.252083333333331</v>
      </c>
      <c r="J78" s="84">
        <f aca="true" t="shared" si="26" ref="J78:J84">L32</f>
        <v>1.7</v>
      </c>
      <c r="K78" s="41">
        <f aca="true" t="shared" si="27" ref="K78:K84">N32</f>
        <v>1</v>
      </c>
      <c r="L78" s="46">
        <f t="shared" si="20"/>
        <v>9.868995098039216</v>
      </c>
      <c r="M78" s="47">
        <f>$M$59</f>
        <v>12</v>
      </c>
      <c r="N78" s="46">
        <f>IF(K78&gt;0,(M78/J78)*K78*1.15,0)</f>
        <v>8.117647058823529</v>
      </c>
      <c r="O78" s="46">
        <f t="shared" si="21"/>
        <v>17.986642156862743</v>
      </c>
    </row>
    <row r="79" spans="1:15" ht="14.25">
      <c r="A79" s="27" t="str">
        <f t="shared" si="23"/>
        <v>   Truck, used</v>
      </c>
      <c r="B79" s="110"/>
      <c r="C79" s="165">
        <v>0.04</v>
      </c>
      <c r="D79" s="45">
        <f t="shared" si="24"/>
        <v>800</v>
      </c>
      <c r="E79" s="58">
        <f t="shared" si="25"/>
        <v>5.333333333333333</v>
      </c>
      <c r="F79" s="116">
        <v>2.5</v>
      </c>
      <c r="G79" s="59">
        <f>$G$59</f>
        <v>3.45</v>
      </c>
      <c r="H79" s="58">
        <f t="shared" si="22"/>
        <v>9.91875</v>
      </c>
      <c r="I79" s="58">
        <f t="shared" si="16"/>
        <v>15.252083333333331</v>
      </c>
      <c r="J79" s="84">
        <f t="shared" si="26"/>
        <v>1.7</v>
      </c>
      <c r="K79" s="41">
        <f t="shared" si="27"/>
        <v>1</v>
      </c>
      <c r="L79" s="46">
        <f t="shared" si="20"/>
        <v>9.868995098039216</v>
      </c>
      <c r="M79" s="47">
        <f>$M$59</f>
        <v>12</v>
      </c>
      <c r="N79" s="46">
        <f>IF(K79&gt;0,(M79/J79)*K79*1.15,0)</f>
        <v>8.117647058823529</v>
      </c>
      <c r="O79" s="46">
        <f t="shared" si="21"/>
        <v>17.986642156862743</v>
      </c>
    </row>
    <row r="80" spans="1:15" ht="14.25">
      <c r="A80" s="27" t="str">
        <f t="shared" si="23"/>
        <v>  Tractor, HP =</v>
      </c>
      <c r="B80" s="110">
        <f>B34</f>
        <v>55</v>
      </c>
      <c r="C80" s="165">
        <v>0.02</v>
      </c>
      <c r="D80" s="45">
        <f t="shared" si="24"/>
        <v>463</v>
      </c>
      <c r="E80" s="58">
        <f t="shared" si="25"/>
        <v>0.926</v>
      </c>
      <c r="F80" s="50">
        <f>B80*0.044</f>
        <v>2.42</v>
      </c>
      <c r="G80" s="59">
        <f>$G$59</f>
        <v>3.45</v>
      </c>
      <c r="H80" s="58">
        <f t="shared" si="22"/>
        <v>9.60135</v>
      </c>
      <c r="I80" s="58">
        <f t="shared" si="16"/>
        <v>10.52735</v>
      </c>
      <c r="J80" s="84">
        <f t="shared" si="26"/>
        <v>1.7</v>
      </c>
      <c r="K80" s="41">
        <f t="shared" si="27"/>
        <v>0</v>
      </c>
      <c r="L80" s="46">
        <f t="shared" si="20"/>
        <v>0</v>
      </c>
      <c r="M80" s="47">
        <f>$M$59</f>
        <v>12</v>
      </c>
      <c r="N80" s="46">
        <f>IF(K80&gt;0,(M80/J80)*K80*1.15,0)</f>
        <v>0</v>
      </c>
      <c r="O80" s="46">
        <f t="shared" si="21"/>
        <v>0</v>
      </c>
    </row>
    <row r="81" spans="1:15" ht="14.25">
      <c r="A81" s="27" t="str">
        <f t="shared" si="23"/>
        <v>  + Wagon</v>
      </c>
      <c r="B81" s="110"/>
      <c r="C81" s="165">
        <v>0.02</v>
      </c>
      <c r="D81" s="45">
        <f t="shared" si="24"/>
        <v>209</v>
      </c>
      <c r="E81" s="58">
        <f t="shared" si="25"/>
        <v>2.09</v>
      </c>
      <c r="F81" s="50">
        <v>0</v>
      </c>
      <c r="G81" s="59"/>
      <c r="H81" s="58"/>
      <c r="I81" s="58">
        <f t="shared" si="16"/>
        <v>2.09</v>
      </c>
      <c r="J81" s="84">
        <f t="shared" si="26"/>
        <v>1.7</v>
      </c>
      <c r="K81" s="41">
        <f t="shared" si="27"/>
        <v>0</v>
      </c>
      <c r="L81" s="46">
        <f t="shared" si="20"/>
        <v>0</v>
      </c>
      <c r="M81" s="60"/>
      <c r="N81" s="60"/>
      <c r="O81" s="46">
        <f t="shared" si="21"/>
        <v>0</v>
      </c>
    </row>
    <row r="82" spans="1:15" ht="14.25">
      <c r="A82" s="27" t="str">
        <f t="shared" si="23"/>
        <v>  Tractor, HP =</v>
      </c>
      <c r="B82" s="110">
        <f>B36</f>
        <v>55</v>
      </c>
      <c r="C82" s="165">
        <v>0.02</v>
      </c>
      <c r="D82" s="45">
        <f t="shared" si="24"/>
        <v>463</v>
      </c>
      <c r="E82" s="58">
        <f t="shared" si="25"/>
        <v>0.926</v>
      </c>
      <c r="F82" s="50">
        <f>B82*0.044</f>
        <v>2.42</v>
      </c>
      <c r="G82" s="59">
        <f>$G$59</f>
        <v>3.45</v>
      </c>
      <c r="H82" s="58">
        <f t="shared" si="22"/>
        <v>9.60135</v>
      </c>
      <c r="I82" s="58">
        <f t="shared" si="16"/>
        <v>10.52735</v>
      </c>
      <c r="J82" s="84">
        <f t="shared" si="26"/>
        <v>1.7</v>
      </c>
      <c r="K82" s="41">
        <f t="shared" si="27"/>
        <v>0</v>
      </c>
      <c r="L82" s="46">
        <f t="shared" si="20"/>
        <v>0</v>
      </c>
      <c r="M82" s="47">
        <f>$M$59</f>
        <v>12</v>
      </c>
      <c r="N82" s="46">
        <f>IF(K82&gt;0,(M82/J82)*K82*1.15,0)</f>
        <v>0</v>
      </c>
      <c r="O82" s="46">
        <f t="shared" si="21"/>
        <v>0</v>
      </c>
    </row>
    <row r="83" spans="1:15" ht="14.25" customHeight="1">
      <c r="A83" s="27" t="str">
        <f t="shared" si="23"/>
        <v>  + Wagon</v>
      </c>
      <c r="B83" s="110"/>
      <c r="C83" s="165">
        <v>0.02</v>
      </c>
      <c r="D83" s="45">
        <f t="shared" si="24"/>
        <v>209</v>
      </c>
      <c r="E83" s="58">
        <f t="shared" si="25"/>
        <v>2.09</v>
      </c>
      <c r="F83" s="50">
        <v>0</v>
      </c>
      <c r="G83" s="59"/>
      <c r="H83" s="58"/>
      <c r="I83" s="58">
        <f t="shared" si="16"/>
        <v>2.09</v>
      </c>
      <c r="J83" s="84">
        <f t="shared" si="26"/>
        <v>1.7</v>
      </c>
      <c r="K83" s="41">
        <f t="shared" si="27"/>
        <v>0</v>
      </c>
      <c r="L83" s="46">
        <f t="shared" si="20"/>
        <v>0</v>
      </c>
      <c r="M83" s="60"/>
      <c r="N83" s="60"/>
      <c r="O83" s="46">
        <f t="shared" si="21"/>
        <v>0</v>
      </c>
    </row>
    <row r="84" spans="1:15" ht="14.25">
      <c r="A84" s="27" t="str">
        <f t="shared" si="23"/>
        <v>  Pickup Truck, 3/4 Ton</v>
      </c>
      <c r="B84" s="32"/>
      <c r="C84" s="165">
        <v>0.02</v>
      </c>
      <c r="D84" s="45">
        <f t="shared" si="24"/>
        <v>604.5</v>
      </c>
      <c r="E84" s="58">
        <f t="shared" si="25"/>
        <v>1.209</v>
      </c>
      <c r="F84" s="167">
        <v>3</v>
      </c>
      <c r="G84" s="59">
        <f>$G$59</f>
        <v>3.45</v>
      </c>
      <c r="H84" s="58">
        <f t="shared" si="22"/>
        <v>11.9025</v>
      </c>
      <c r="I84" s="58">
        <f t="shared" si="16"/>
        <v>13.1115</v>
      </c>
      <c r="J84" s="84">
        <f t="shared" si="26"/>
        <v>10</v>
      </c>
      <c r="K84" s="41">
        <f t="shared" si="27"/>
        <v>4</v>
      </c>
      <c r="L84" s="46">
        <f t="shared" si="20"/>
        <v>5.7690600000000005</v>
      </c>
      <c r="M84" s="47">
        <f>$M$59</f>
        <v>12</v>
      </c>
      <c r="N84" s="46">
        <f>IF(K84&gt;0,(M84/J84)*K84*1.15,0)</f>
        <v>5.52</v>
      </c>
      <c r="O84" s="46">
        <f t="shared" si="21"/>
        <v>11.28906</v>
      </c>
    </row>
    <row r="85" spans="1:15" ht="14.25" customHeight="1">
      <c r="A85" s="27" t="str">
        <f>A40</f>
        <v>  Tractor, HP=</v>
      </c>
      <c r="B85" s="27">
        <f>B40</f>
        <v>55</v>
      </c>
      <c r="C85" s="165">
        <v>0.02</v>
      </c>
      <c r="D85" s="45">
        <f>D40*C85</f>
        <v>463</v>
      </c>
      <c r="E85" s="58">
        <f>IF(D85&gt;0,D85/J40,0)</f>
        <v>0.926</v>
      </c>
      <c r="F85" s="50">
        <f>B85*0.044</f>
        <v>2.42</v>
      </c>
      <c r="G85" s="59">
        <f>$G$59</f>
        <v>3.45</v>
      </c>
      <c r="H85" s="58">
        <f>(F85*G85)*1.15</f>
        <v>9.60135</v>
      </c>
      <c r="I85" s="58">
        <f>E85+H85</f>
        <v>10.52735</v>
      </c>
      <c r="J85" s="84">
        <f>L40</f>
        <v>1.25</v>
      </c>
      <c r="K85" s="41">
        <f>N40</f>
        <v>1</v>
      </c>
      <c r="L85" s="46">
        <f t="shared" si="20"/>
        <v>9.264068</v>
      </c>
      <c r="M85" s="47">
        <f>$M$59</f>
        <v>12</v>
      </c>
      <c r="N85" s="46">
        <f>IF(K85&gt;0,(M85/J85)*K85*1.15,0)</f>
        <v>11.04</v>
      </c>
      <c r="O85" s="46">
        <f>L85+N85</f>
        <v>20.304068</v>
      </c>
    </row>
    <row r="86" spans="1:15" ht="14.25">
      <c r="A86" s="27" t="str">
        <f>A41</f>
        <v>  + Blower</v>
      </c>
      <c r="B86" s="27"/>
      <c r="C86" s="165">
        <v>0.03</v>
      </c>
      <c r="D86" s="45">
        <f>D41*C86</f>
        <v>0</v>
      </c>
      <c r="E86" s="58">
        <f>IF(D86&gt;0,D86/J41,0)</f>
        <v>0</v>
      </c>
      <c r="F86" s="116">
        <v>0</v>
      </c>
      <c r="G86" s="59"/>
      <c r="H86" s="58"/>
      <c r="I86" s="58">
        <f>E86+H86</f>
        <v>0</v>
      </c>
      <c r="J86" s="84">
        <f>L41</f>
        <v>1.25</v>
      </c>
      <c r="K86" s="41">
        <f>N41</f>
        <v>0</v>
      </c>
      <c r="L86" s="46">
        <f t="shared" si="20"/>
        <v>0</v>
      </c>
      <c r="M86" s="47">
        <f>$M$59</f>
        <v>12</v>
      </c>
      <c r="N86" s="46">
        <f>IF(K86&gt;0,(M86/J86)*K86*1.15,0)</f>
        <v>0</v>
      </c>
      <c r="O86" s="46">
        <f>L86+N86</f>
        <v>0</v>
      </c>
    </row>
    <row r="87" spans="1:15" ht="14.25">
      <c r="A87" s="27" t="str">
        <f>A45</f>
        <v>Silo</v>
      </c>
      <c r="B87" s="27"/>
      <c r="C87" s="165">
        <v>0.01</v>
      </c>
      <c r="D87" s="45">
        <f>D45*C87</f>
        <v>400</v>
      </c>
      <c r="E87" s="122"/>
      <c r="F87" s="123"/>
      <c r="G87" s="122"/>
      <c r="H87" s="122"/>
      <c r="I87" s="122"/>
      <c r="J87" s="124"/>
      <c r="K87" s="125"/>
      <c r="L87" s="46">
        <f>IF(D87&gt;0,(D87/J45),0)</f>
        <v>4</v>
      </c>
      <c r="M87" s="60"/>
      <c r="N87" s="60"/>
      <c r="O87" s="46">
        <f>L87</f>
        <v>4</v>
      </c>
    </row>
    <row r="88" spans="1:15" ht="14.25">
      <c r="A88" s="27" t="str">
        <f>A46</f>
        <v>Machinery housingf</v>
      </c>
      <c r="B88" s="27"/>
      <c r="C88" s="165">
        <v>0.01</v>
      </c>
      <c r="D88" s="45">
        <f>D46*C88</f>
        <v>200</v>
      </c>
      <c r="E88" s="122"/>
      <c r="F88" s="123"/>
      <c r="G88" s="122"/>
      <c r="H88" s="122"/>
      <c r="I88" s="122"/>
      <c r="J88" s="124"/>
      <c r="K88" s="125"/>
      <c r="L88" s="46">
        <f>IF(D88&gt;0,(D88/J46),0)</f>
        <v>2</v>
      </c>
      <c r="M88" s="60"/>
      <c r="N88" s="60"/>
      <c r="O88" s="46">
        <f>L88</f>
        <v>2</v>
      </c>
    </row>
    <row r="89" spans="1:15" ht="16.5" customHeight="1">
      <c r="A89" s="107" t="s">
        <v>39</v>
      </c>
      <c r="B89" s="108"/>
      <c r="C89" s="108"/>
      <c r="D89" s="109"/>
      <c r="E89" s="109"/>
      <c r="F89" s="109"/>
      <c r="G89" s="109"/>
      <c r="H89" s="109"/>
      <c r="I89" s="109"/>
      <c r="J89" s="109"/>
      <c r="K89" s="109"/>
      <c r="L89" s="191">
        <f>SUM(L60:L88)</f>
        <v>71.77804179395001</v>
      </c>
      <c r="M89" s="192"/>
      <c r="N89" s="191">
        <f>SUM(N60:N88)</f>
        <v>55.7953239674248</v>
      </c>
      <c r="O89" s="191">
        <f>SUM(O60:O88)</f>
        <v>127.57336576137482</v>
      </c>
    </row>
    <row r="90" spans="1:15" ht="16.5">
      <c r="A90" s="55" t="s">
        <v>58</v>
      </c>
      <c r="B90" s="32"/>
      <c r="C90" s="113"/>
      <c r="D90" s="45"/>
      <c r="E90" s="58"/>
      <c r="F90" s="83"/>
      <c r="G90" s="59"/>
      <c r="H90" s="83"/>
      <c r="I90" s="83"/>
      <c r="J90" s="84"/>
      <c r="K90" s="41"/>
      <c r="L90" s="46"/>
      <c r="M90" s="47"/>
      <c r="N90" s="46"/>
      <c r="O90" s="46"/>
    </row>
    <row r="91" spans="1:15" ht="16.5">
      <c r="A91" s="55" t="s">
        <v>59</v>
      </c>
      <c r="B91" s="32"/>
      <c r="C91" s="113"/>
      <c r="D91" s="45"/>
      <c r="E91" s="58"/>
      <c r="F91" s="83"/>
      <c r="G91" s="59"/>
      <c r="H91" s="83"/>
      <c r="I91" s="83"/>
      <c r="J91" s="84"/>
      <c r="K91" s="41"/>
      <c r="L91" s="46"/>
      <c r="M91" s="47"/>
      <c r="N91" s="46"/>
      <c r="O91" s="46"/>
    </row>
    <row r="92" spans="1:15" ht="16.5">
      <c r="A92" s="55" t="s">
        <v>72</v>
      </c>
      <c r="C92" s="113"/>
      <c r="D92" s="45"/>
      <c r="E92" s="58"/>
      <c r="F92" s="83"/>
      <c r="G92" s="59"/>
      <c r="H92" s="83"/>
      <c r="I92" s="83"/>
      <c r="J92" s="84"/>
      <c r="K92" s="41"/>
      <c r="L92" s="46"/>
      <c r="M92" s="47"/>
      <c r="N92" s="46"/>
      <c r="O92" s="46"/>
    </row>
    <row r="93" spans="1:15" ht="16.5">
      <c r="A93" s="55" t="s">
        <v>73</v>
      </c>
      <c r="B93" s="27"/>
      <c r="C93" s="113"/>
      <c r="D93" s="45"/>
      <c r="E93" s="58"/>
      <c r="F93" s="83"/>
      <c r="G93" s="59"/>
      <c r="H93" s="83"/>
      <c r="I93" s="83"/>
      <c r="J93" s="84"/>
      <c r="K93" s="41"/>
      <c r="L93" s="46"/>
      <c r="M93" s="47"/>
      <c r="N93" s="46"/>
      <c r="O93" s="46"/>
    </row>
    <row r="94" spans="1:15" ht="16.5">
      <c r="A94" s="55" t="s">
        <v>138</v>
      </c>
      <c r="B94" s="32"/>
      <c r="C94" s="113"/>
      <c r="D94" s="45"/>
      <c r="E94" s="58"/>
      <c r="F94" s="83"/>
      <c r="G94" s="59"/>
      <c r="H94" s="83"/>
      <c r="I94" s="83"/>
      <c r="J94" s="84"/>
      <c r="K94" s="41"/>
      <c r="L94" s="46"/>
      <c r="M94" s="47"/>
      <c r="N94" s="46"/>
      <c r="O94" s="46"/>
    </row>
    <row r="95" spans="1:15" ht="16.5">
      <c r="A95" s="56" t="s">
        <v>143</v>
      </c>
      <c r="B95" s="32"/>
      <c r="C95" s="113"/>
      <c r="D95" s="45"/>
      <c r="E95" s="58"/>
      <c r="F95" s="83"/>
      <c r="G95" s="59"/>
      <c r="H95" s="83"/>
      <c r="I95" s="83"/>
      <c r="J95" s="84"/>
      <c r="K95" s="41"/>
      <c r="L95" s="46"/>
      <c r="M95" s="47"/>
      <c r="N95" s="46"/>
      <c r="O95" s="46"/>
    </row>
    <row r="96" spans="1:15" ht="16.5">
      <c r="A96" s="57"/>
      <c r="B96" s="62"/>
      <c r="C96" s="114"/>
      <c r="D96" s="51"/>
      <c r="E96" s="52"/>
      <c r="F96" s="52"/>
      <c r="G96" s="102"/>
      <c r="H96" s="52"/>
      <c r="I96" s="52"/>
      <c r="J96" s="103"/>
      <c r="K96" s="104"/>
      <c r="L96" s="105"/>
      <c r="M96" s="106"/>
      <c r="N96" s="105"/>
      <c r="O96" s="105"/>
    </row>
    <row r="97" spans="1:15" ht="17.25">
      <c r="A97" s="63" t="s">
        <v>60</v>
      </c>
      <c r="B97" s="55"/>
      <c r="C97" s="113"/>
      <c r="D97" s="45"/>
      <c r="E97" s="58"/>
      <c r="F97" s="83"/>
      <c r="G97" s="59"/>
      <c r="H97" s="83"/>
      <c r="I97" s="83"/>
      <c r="J97" s="84"/>
      <c r="K97" s="41"/>
      <c r="L97" s="46"/>
      <c r="M97" s="47"/>
      <c r="N97" s="46"/>
      <c r="O97" s="46"/>
    </row>
    <row r="98" spans="1:15" ht="16.5">
      <c r="A98" s="27" t="s">
        <v>152</v>
      </c>
      <c r="B98" s="55"/>
      <c r="C98" s="113"/>
      <c r="D98" s="45"/>
      <c r="E98" s="58"/>
      <c r="F98" s="83"/>
      <c r="G98" s="59"/>
      <c r="H98" s="83"/>
      <c r="I98" s="83"/>
      <c r="J98" s="84"/>
      <c r="K98" s="41"/>
      <c r="L98" s="46"/>
      <c r="M98" s="47"/>
      <c r="N98" s="46"/>
      <c r="O98" s="46"/>
    </row>
    <row r="99" spans="1:15" ht="16.5">
      <c r="A99" s="27" t="s">
        <v>153</v>
      </c>
      <c r="B99" s="55"/>
      <c r="C99" s="113"/>
      <c r="D99" s="45"/>
      <c r="E99" s="58"/>
      <c r="F99" s="83"/>
      <c r="G99" s="59"/>
      <c r="H99" s="83"/>
      <c r="I99" s="83"/>
      <c r="J99" s="84"/>
      <c r="K99" s="41"/>
      <c r="L99" s="46"/>
      <c r="M99" s="47"/>
      <c r="N99" s="46"/>
      <c r="O99" s="46"/>
    </row>
    <row r="100" spans="1:15" ht="16.5">
      <c r="A100" s="27" t="s">
        <v>77</v>
      </c>
      <c r="B100" s="55"/>
      <c r="C100" s="113"/>
      <c r="D100" s="45"/>
      <c r="E100" s="58"/>
      <c r="F100" s="83"/>
      <c r="G100" s="59"/>
      <c r="H100" s="83"/>
      <c r="I100" s="83"/>
      <c r="J100" s="84"/>
      <c r="K100" s="41"/>
      <c r="L100" s="46"/>
      <c r="M100" s="47"/>
      <c r="N100" s="46"/>
      <c r="O100" s="46"/>
    </row>
    <row r="101" spans="1:15" ht="14.25">
      <c r="A101" s="27" t="s">
        <v>159</v>
      </c>
      <c r="B101" s="32"/>
      <c r="C101" s="113"/>
      <c r="D101" s="45"/>
      <c r="E101" s="58"/>
      <c r="F101" s="83"/>
      <c r="G101" s="59"/>
      <c r="H101" s="83"/>
      <c r="I101" s="83"/>
      <c r="J101" s="84"/>
      <c r="K101" s="41"/>
      <c r="L101" s="46"/>
      <c r="M101" s="47"/>
      <c r="N101" s="46"/>
      <c r="O101" s="46"/>
    </row>
    <row r="102" spans="1:15" ht="14.25">
      <c r="A102" s="27" t="s">
        <v>160</v>
      </c>
      <c r="B102" s="32"/>
      <c r="C102" s="113"/>
      <c r="D102" s="45"/>
      <c r="E102" s="58"/>
      <c r="F102" s="83"/>
      <c r="G102" s="59"/>
      <c r="H102" s="83"/>
      <c r="I102" s="83"/>
      <c r="J102" s="84"/>
      <c r="K102" s="41"/>
      <c r="L102" s="46"/>
      <c r="M102" s="47"/>
      <c r="N102" s="46"/>
      <c r="O102" s="46"/>
    </row>
    <row r="103" spans="1:13" ht="14.25">
      <c r="A103" s="32"/>
      <c r="B103" s="32"/>
      <c r="C103" s="32"/>
      <c r="D103" s="32"/>
      <c r="E103" s="32"/>
      <c r="F103" s="69"/>
      <c r="G103" s="32"/>
      <c r="H103" s="32"/>
      <c r="I103" s="32"/>
      <c r="J103" s="32"/>
      <c r="K103" s="32"/>
      <c r="L103" s="69"/>
      <c r="M103" s="27"/>
    </row>
    <row r="104" spans="1:13" ht="14.25">
      <c r="A104" s="32" t="s">
        <v>154</v>
      </c>
      <c r="B104" s="32"/>
      <c r="C104" s="32"/>
      <c r="D104" s="32"/>
      <c r="E104" s="32"/>
      <c r="F104" s="69"/>
      <c r="G104" s="32"/>
      <c r="H104" s="32"/>
      <c r="I104" s="32"/>
      <c r="J104" s="32"/>
      <c r="K104" s="32"/>
      <c r="L104" s="69"/>
      <c r="M104" s="27"/>
    </row>
    <row r="105" spans="1:13" ht="15">
      <c r="A105" s="27"/>
      <c r="B105" s="27"/>
      <c r="C105" s="27"/>
      <c r="D105" s="215" t="s">
        <v>179</v>
      </c>
      <c r="E105" s="216"/>
      <c r="F105" s="216"/>
      <c r="G105" s="216"/>
      <c r="H105" s="216"/>
      <c r="I105" s="27"/>
      <c r="J105" s="27"/>
      <c r="K105" s="27"/>
      <c r="L105" s="46"/>
      <c r="M105" s="27"/>
    </row>
    <row r="106" spans="1:13" ht="14.25">
      <c r="A106" s="27"/>
      <c r="B106" s="27"/>
      <c r="C106" s="27"/>
      <c r="D106" s="78"/>
      <c r="E106" s="50"/>
      <c r="F106" s="78" t="s">
        <v>61</v>
      </c>
      <c r="G106" s="50"/>
      <c r="H106" s="78"/>
      <c r="I106" s="27"/>
      <c r="J106" s="27"/>
      <c r="K106" s="27"/>
      <c r="L106" s="46"/>
      <c r="M106" s="27"/>
    </row>
    <row r="107" spans="2:13" ht="14.25">
      <c r="B107" s="27"/>
      <c r="C107" s="27"/>
      <c r="D107" s="165">
        <v>-0.1</v>
      </c>
      <c r="E107" s="27"/>
      <c r="F107" s="40" t="s">
        <v>75</v>
      </c>
      <c r="G107" s="27"/>
      <c r="H107" s="169" t="s">
        <v>76</v>
      </c>
      <c r="I107" s="27"/>
      <c r="J107" s="27"/>
      <c r="K107" s="27"/>
      <c r="L107" s="46"/>
      <c r="M107" s="27"/>
    </row>
    <row r="108" spans="2:13" ht="14.25">
      <c r="B108" s="217" t="s">
        <v>62</v>
      </c>
      <c r="C108" s="170">
        <v>-0.1</v>
      </c>
      <c r="D108" s="64">
        <f>D119*'Budget88-1'!$D$56</f>
        <v>38.00480955737059</v>
      </c>
      <c r="E108" s="57"/>
      <c r="F108" s="74">
        <f>F119*'Budget88-1'!$D$56</f>
        <v>34.204328601633534</v>
      </c>
      <c r="G108" s="57"/>
      <c r="H108" s="66">
        <f>H119*'Budget88-1'!$D$56</f>
        <v>31.094844183303213</v>
      </c>
      <c r="I108" s="32"/>
      <c r="J108" s="32"/>
      <c r="K108" s="32"/>
      <c r="L108" s="69"/>
      <c r="M108" s="27"/>
    </row>
    <row r="109" spans="2:13" ht="14.25">
      <c r="B109" s="217"/>
      <c r="C109" s="32"/>
      <c r="D109" s="177"/>
      <c r="E109" s="32"/>
      <c r="F109" s="69"/>
      <c r="G109" s="32"/>
      <c r="H109" s="178"/>
      <c r="I109" s="32"/>
      <c r="J109" s="32"/>
      <c r="K109" s="32"/>
      <c r="L109" s="69"/>
      <c r="M109" s="27"/>
    </row>
    <row r="110" spans="2:13" ht="14.25">
      <c r="B110" s="217"/>
      <c r="C110" s="71" t="s">
        <v>61</v>
      </c>
      <c r="D110" s="67">
        <f>D121*'Budget88-1'!$D$56</f>
        <v>42.22756617485621</v>
      </c>
      <c r="E110" s="32"/>
      <c r="F110" s="85">
        <f>F121*'Budget88-1'!$D$56</f>
        <v>38.00480955737059</v>
      </c>
      <c r="G110" s="32"/>
      <c r="H110" s="76">
        <f>H121*'Budget88-1'!$D$56</f>
        <v>34.5498268703369</v>
      </c>
      <c r="I110" s="32"/>
      <c r="J110" s="32"/>
      <c r="K110" s="32"/>
      <c r="L110" s="69"/>
      <c r="M110" s="27"/>
    </row>
    <row r="111" spans="2:13" ht="14.25">
      <c r="B111" s="217"/>
      <c r="C111" s="32"/>
      <c r="D111" s="177"/>
      <c r="E111" s="32"/>
      <c r="F111" s="69"/>
      <c r="G111" s="32"/>
      <c r="H111" s="178"/>
      <c r="I111" s="32"/>
      <c r="J111" s="32"/>
      <c r="K111" s="32"/>
      <c r="L111" s="69"/>
      <c r="M111" s="27"/>
    </row>
    <row r="112" spans="1:13" ht="14.25">
      <c r="A112" s="32"/>
      <c r="B112" s="217"/>
      <c r="C112" s="171" t="s">
        <v>76</v>
      </c>
      <c r="D112" s="72">
        <f>D123*'Budget88-1'!$D$56</f>
        <v>46.45032279234184</v>
      </c>
      <c r="E112" s="179"/>
      <c r="F112" s="75">
        <f>F123*'Budget88-1'!$D$56</f>
        <v>41.80529051310766</v>
      </c>
      <c r="G112" s="179"/>
      <c r="H112" s="77">
        <f>H123*'Budget88-1'!$D$56</f>
        <v>38.00480955737059</v>
      </c>
      <c r="I112" s="32"/>
      <c r="J112" s="32"/>
      <c r="K112" s="32"/>
      <c r="L112" s="69"/>
      <c r="M112" s="27"/>
    </row>
    <row r="113" spans="1:13" ht="14.25">
      <c r="A113" s="32"/>
      <c r="B113" s="32"/>
      <c r="C113" s="32"/>
      <c r="D113" s="32"/>
      <c r="E113" s="32"/>
      <c r="F113" s="69"/>
      <c r="G113" s="32"/>
      <c r="H113" s="32"/>
      <c r="I113" s="32"/>
      <c r="J113" s="32"/>
      <c r="K113" s="32"/>
      <c r="L113" s="69"/>
      <c r="M113" s="27"/>
    </row>
    <row r="114" spans="1:13" ht="14.25">
      <c r="A114" s="32"/>
      <c r="B114" s="32"/>
      <c r="C114" s="32"/>
      <c r="D114" s="32"/>
      <c r="E114" s="32"/>
      <c r="F114" s="69"/>
      <c r="G114" s="32"/>
      <c r="H114" s="32"/>
      <c r="I114" s="32"/>
      <c r="J114" s="32"/>
      <c r="K114" s="32"/>
      <c r="L114" s="69"/>
      <c r="M114" s="27"/>
    </row>
    <row r="115" spans="1:15" ht="14.25">
      <c r="A115" s="32" t="s">
        <v>180</v>
      </c>
      <c r="B115" s="27"/>
      <c r="C115" s="113"/>
      <c r="D115" s="45"/>
      <c r="E115" s="58"/>
      <c r="F115" s="83"/>
      <c r="G115" s="59"/>
      <c r="H115" s="83"/>
      <c r="I115" s="83"/>
      <c r="J115" s="84"/>
      <c r="K115" s="41"/>
      <c r="L115" s="46"/>
      <c r="M115" s="47"/>
      <c r="N115" s="46"/>
      <c r="O115" s="46"/>
    </row>
    <row r="116" spans="1:13" ht="15">
      <c r="A116" s="27"/>
      <c r="B116" s="27"/>
      <c r="C116" s="27"/>
      <c r="D116" s="215" t="s">
        <v>178</v>
      </c>
      <c r="E116" s="216"/>
      <c r="F116" s="216"/>
      <c r="G116" s="216"/>
      <c r="H116" s="216"/>
      <c r="I116" s="27"/>
      <c r="J116" s="27"/>
      <c r="K116" s="27"/>
      <c r="L116" s="46"/>
      <c r="M116" s="27"/>
    </row>
    <row r="117" spans="1:13" ht="14.25">
      <c r="A117" s="27"/>
      <c r="B117" s="27"/>
      <c r="C117" s="27"/>
      <c r="D117" s="78"/>
      <c r="E117" s="50"/>
      <c r="F117" s="78" t="s">
        <v>61</v>
      </c>
      <c r="G117" s="50"/>
      <c r="H117" s="78"/>
      <c r="I117" s="27"/>
      <c r="J117" s="27"/>
      <c r="K117" s="27"/>
      <c r="L117" s="46"/>
      <c r="M117" s="27"/>
    </row>
    <row r="118" spans="2:13" ht="14.25">
      <c r="B118" s="27"/>
      <c r="C118" s="27"/>
      <c r="D118" s="165">
        <v>-0.1</v>
      </c>
      <c r="E118" s="27"/>
      <c r="F118" s="40" t="s">
        <v>75</v>
      </c>
      <c r="G118" s="27"/>
      <c r="H118" s="169" t="s">
        <v>76</v>
      </c>
      <c r="I118" s="27"/>
      <c r="J118" s="27"/>
      <c r="K118" s="27"/>
      <c r="L118" s="46"/>
      <c r="M118" s="27"/>
    </row>
    <row r="119" spans="2:13" ht="14.25">
      <c r="B119" s="217" t="s">
        <v>62</v>
      </c>
      <c r="C119" s="170">
        <v>-0.1</v>
      </c>
      <c r="D119" s="64">
        <f>('Budget88-1'!E48*(1+C119))/(('Budget88-1'!D52*(1+D118))*'Budget88-1'!D56)</f>
        <v>108.58517016391598</v>
      </c>
      <c r="E119" s="65"/>
      <c r="F119" s="74">
        <f>('Budget88-1'!E48*(1+C119))/('Budget88-1'!D52*'Budget88-1'!D56)</f>
        <v>97.72665314752439</v>
      </c>
      <c r="G119" s="65"/>
      <c r="H119" s="66">
        <f>('Budget88-1'!E48*(1+C119))/(('Budget88-1'!D52*(1+H118))*'Budget88-1'!D56)</f>
        <v>88.8424119522949</v>
      </c>
      <c r="I119" s="27"/>
      <c r="J119" s="27"/>
      <c r="K119" s="27"/>
      <c r="L119" s="46"/>
      <c r="M119" s="27"/>
    </row>
    <row r="120" spans="2:13" ht="14.25">
      <c r="B120" s="217"/>
      <c r="C120" s="32"/>
      <c r="D120" s="67"/>
      <c r="E120" s="68"/>
      <c r="F120" s="69"/>
      <c r="G120" s="68"/>
      <c r="H120" s="70"/>
      <c r="I120" s="27"/>
      <c r="J120" s="27"/>
      <c r="K120" s="27"/>
      <c r="L120" s="46"/>
      <c r="M120" s="27"/>
    </row>
    <row r="121" spans="2:13" ht="14.25">
      <c r="B121" s="217"/>
      <c r="C121" s="71" t="s">
        <v>61</v>
      </c>
      <c r="D121" s="67">
        <f>'Budget88-1'!E48/(('Budget88-1'!D52*(1+D118))*'Budget88-1'!D56)</f>
        <v>120.65018907101775</v>
      </c>
      <c r="E121" s="68"/>
      <c r="F121" s="85">
        <f>'Budget88-1'!E48/('Budget88-1'!D52*'Budget88-1'!D56)</f>
        <v>108.58517016391599</v>
      </c>
      <c r="G121" s="68"/>
      <c r="H121" s="76">
        <f>'Budget88-1'!E48/(('Budget88-1'!D52*(1+H118))*'Budget88-1'!D56)</f>
        <v>98.71379105810543</v>
      </c>
      <c r="I121" s="27"/>
      <c r="J121" s="27"/>
      <c r="K121" s="27"/>
      <c r="L121" s="46"/>
      <c r="M121" s="27"/>
    </row>
    <row r="122" spans="2:13" ht="14.25">
      <c r="B122" s="217"/>
      <c r="C122" s="32"/>
      <c r="D122" s="67"/>
      <c r="E122" s="68"/>
      <c r="F122" s="69"/>
      <c r="G122" s="68"/>
      <c r="H122" s="70"/>
      <c r="I122" s="27"/>
      <c r="J122" s="27"/>
      <c r="K122" s="27"/>
      <c r="L122" s="46"/>
      <c r="M122" s="27"/>
    </row>
    <row r="123" spans="1:13" ht="14.25">
      <c r="A123" s="32"/>
      <c r="B123" s="217"/>
      <c r="C123" s="171" t="s">
        <v>76</v>
      </c>
      <c r="D123" s="72">
        <f>('Budget88-1'!E48*(1+C123))/(('Budget88-1'!D52*(1+D118))*'Budget88-1'!D56)</f>
        <v>132.71520797811954</v>
      </c>
      <c r="E123" s="73"/>
      <c r="F123" s="75">
        <f>('Budget88-1'!E48*(1+C123))/('Budget88-1'!D52*'Budget88-1'!D56)</f>
        <v>119.4436871803076</v>
      </c>
      <c r="G123" s="73"/>
      <c r="H123" s="77">
        <f>('Budget88-1'!E48*(1+C123))/(('Budget88-1'!D56*('Budget88-1'!D52*(1+H118))))</f>
        <v>108.58517016391599</v>
      </c>
      <c r="I123" s="27"/>
      <c r="J123" s="27"/>
      <c r="K123" s="27"/>
      <c r="L123" s="46"/>
      <c r="M123" s="27"/>
    </row>
    <row r="124" spans="1:13" ht="14.25">
      <c r="A124" s="32"/>
      <c r="B124" s="32"/>
      <c r="C124" s="32"/>
      <c r="D124" s="32"/>
      <c r="E124" s="32"/>
      <c r="F124" s="69"/>
      <c r="G124" s="32"/>
      <c r="H124" s="32"/>
      <c r="I124" s="32"/>
      <c r="J124" s="32"/>
      <c r="K124" s="32"/>
      <c r="L124" s="69"/>
      <c r="M124" s="27"/>
    </row>
    <row r="125" spans="1:15" ht="14.25">
      <c r="A125" s="57"/>
      <c r="B125" s="57"/>
      <c r="C125" s="57"/>
      <c r="D125" s="57"/>
      <c r="E125" s="57"/>
      <c r="F125" s="105"/>
      <c r="G125" s="57"/>
      <c r="H125" s="57"/>
      <c r="I125" s="57"/>
      <c r="J125" s="57"/>
      <c r="K125" s="57"/>
      <c r="L125" s="105"/>
      <c r="M125" s="57"/>
      <c r="N125" s="53"/>
      <c r="O125" s="53"/>
    </row>
    <row r="126" spans="1:13" ht="14.25">
      <c r="A126" s="32"/>
      <c r="B126" s="32"/>
      <c r="C126" s="32"/>
      <c r="D126" s="32"/>
      <c r="E126" s="32"/>
      <c r="F126" s="69"/>
      <c r="G126" s="32"/>
      <c r="H126" s="32"/>
      <c r="I126" s="32"/>
      <c r="J126" s="32"/>
      <c r="K126" s="32"/>
      <c r="L126" s="69"/>
      <c r="M126" s="27"/>
    </row>
    <row r="127" ht="14.25">
      <c r="A127" t="s">
        <v>130</v>
      </c>
    </row>
    <row r="128" ht="14.25">
      <c r="A128" t="s">
        <v>145</v>
      </c>
    </row>
    <row r="129" ht="14.25">
      <c r="A129" t="s">
        <v>149</v>
      </c>
    </row>
    <row r="130" ht="14.25">
      <c r="A130" s="27" t="s">
        <v>173</v>
      </c>
    </row>
  </sheetData>
  <sheetProtection sheet="1" selectLockedCells="1"/>
  <mergeCells count="4">
    <mergeCell ref="D116:H116"/>
    <mergeCell ref="B119:B123"/>
    <mergeCell ref="D105:H105"/>
    <mergeCell ref="B108:B112"/>
  </mergeCells>
  <printOptions horizontalCentered="1"/>
  <pageMargins left="0.7" right="0.5" top="0.48" bottom="0.37" header="0.38" footer="0.33"/>
  <pageSetup horizontalDpi="1200" verticalDpi="1200" orientation="portrait" scale="53" r:id="rId1"/>
  <rowBreaks count="1" manualBreakCount="1">
    <brk id="9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NCSU-ARE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Benson</dc:creator>
  <cp:keywords/>
  <dc:description/>
  <cp:lastModifiedBy>gabenson</cp:lastModifiedBy>
  <cp:lastPrinted>2013-06-05T20:40:58Z</cp:lastPrinted>
  <dcterms:created xsi:type="dcterms:W3CDTF">2005-07-25T18:21:32Z</dcterms:created>
  <dcterms:modified xsi:type="dcterms:W3CDTF">2013-07-16T12:02:43Z</dcterms:modified>
  <cp:category/>
  <cp:version/>
  <cp:contentType/>
  <cp:contentStatus/>
</cp:coreProperties>
</file>