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80" windowWidth="14340" windowHeight="7620" activeTab="0"/>
  </bookViews>
  <sheets>
    <sheet name="HayLRBBudget84-2" sheetId="1" r:id="rId1"/>
    <sheet name="HayLRBFixedCosts84-2" sheetId="2" r:id="rId2"/>
  </sheets>
  <definedNames/>
  <calcPr fullCalcOnLoad="1"/>
</workbook>
</file>

<file path=xl/sharedStrings.xml><?xml version="1.0" encoding="utf-8"?>
<sst xmlns="http://schemas.openxmlformats.org/spreadsheetml/2006/main" count="177" uniqueCount="128">
  <si>
    <t>Description</t>
  </si>
  <si>
    <t>Unit</t>
  </si>
  <si>
    <t>Price</t>
  </si>
  <si>
    <t>Quantity</t>
  </si>
  <si>
    <t>Value</t>
  </si>
  <si>
    <t xml:space="preserve">   Operating inputs</t>
  </si>
  <si>
    <t>Ton</t>
  </si>
  <si>
    <t>Acre</t>
  </si>
  <si>
    <t xml:space="preserve">      -Baling Twine</t>
  </si>
  <si>
    <t xml:space="preserve">      -Other:</t>
  </si>
  <si>
    <t>Hours</t>
  </si>
  <si>
    <t>Total Operating Costs</t>
  </si>
  <si>
    <t>Amount</t>
  </si>
  <si>
    <r>
      <t xml:space="preserve">   </t>
    </r>
    <r>
      <rPr>
        <b/>
        <sz val="10"/>
        <rFont val="Arial"/>
        <family val="2"/>
      </rPr>
      <t>Fixed Costs</t>
    </r>
  </si>
  <si>
    <t>Total Cost</t>
  </si>
  <si>
    <r>
      <t xml:space="preserve">      </t>
    </r>
    <r>
      <rPr>
        <b/>
        <sz val="10"/>
        <rFont val="Arial"/>
        <family val="2"/>
      </rPr>
      <t>Production</t>
    </r>
  </si>
  <si>
    <t xml:space="preserve">         -Harvested as Hay, Dry Matter</t>
  </si>
  <si>
    <t>Total Receipts</t>
  </si>
  <si>
    <t>RETURNS ABOVE TOTAL OPERATING COST</t>
  </si>
  <si>
    <t>Budget prepared by:</t>
  </si>
  <si>
    <t>NOTES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</si>
  <si>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</si>
  <si>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</si>
  <si>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</si>
  <si>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</si>
  <si>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</si>
  <si>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</si>
  <si>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</si>
  <si>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</si>
  <si>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</si>
  <si>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</si>
  <si>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</si>
  <si>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</si>
  <si>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</si>
  <si>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</si>
  <si>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</si>
  <si>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</si>
  <si>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</si>
  <si>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</si>
  <si>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</si>
  <si>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</si>
  <si>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</si>
  <si>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</si>
  <si>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</si>
  <si>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</si>
  <si>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</si>
  <si>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</si>
  <si>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</si>
  <si>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</si>
  <si>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</si>
  <si>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</si>
  <si>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</si>
  <si>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</si>
  <si>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</si>
  <si>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</si>
  <si>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</si>
  <si>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 xml:space="preserve">Equip. 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</si>
  <si>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</si>
  <si>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</si>
  <si>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</si>
  <si>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</si>
  <si>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</si>
  <si>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</si>
  <si>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</si>
  <si>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</si>
  <si>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</si>
  <si>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</si>
  <si>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</si>
  <si>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</si>
  <si>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</si>
  <si>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</si>
  <si>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</si>
  <si>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</si>
  <si>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>Move &amp; Stack</t>
  </si>
  <si>
    <t>Other</t>
  </si>
  <si>
    <t>Rate Charged, percent ====&gt;</t>
  </si>
  <si>
    <t>Fuel cost per gallon &amp; Labor cost per hour ====&gt;</t>
  </si>
  <si>
    <t xml:space="preserve">  Pickup Truck, 3/4 Ton</t>
  </si>
  <si>
    <t xml:space="preserve">  + Bale Fork</t>
  </si>
  <si>
    <t xml:space="preserve">  + Mower-Cond.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</si>
  <si>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</si>
  <si>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</si>
  <si>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</si>
  <si>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</si>
  <si>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>Op. Cost</t>
    </r>
    <r>
      <rPr>
        <b/>
        <vertAlign val="superscript"/>
        <sz val="11"/>
        <rFont val="Arial"/>
        <family val="2"/>
      </rPr>
      <t>d</t>
    </r>
  </si>
  <si>
    <r>
      <t>Cost</t>
    </r>
    <r>
      <rPr>
        <b/>
        <vertAlign val="superscript"/>
        <sz val="11"/>
        <rFont val="Arial"/>
        <family val="2"/>
      </rPr>
      <t>e</t>
    </r>
  </si>
  <si>
    <t xml:space="preserve">  Tractor, HP=</t>
  </si>
  <si>
    <t xml:space="preserve">            and Interest (From Table 1)</t>
  </si>
  <si>
    <t xml:space="preserve">     -Machinery Depreciation, Taxes, Insurance,</t>
  </si>
  <si>
    <t>+10%</t>
  </si>
  <si>
    <t>Budget</t>
  </si>
  <si>
    <t xml:space="preserve">YIELD </t>
  </si>
  <si>
    <t>The table shows the effects of yields and costs that are 10 percent higher or lower than the basic budget, singly and in combination.</t>
  </si>
  <si>
    <t xml:space="preserve">in North Carolina.   However, there is a wide variation in conditions from one farm to another and costs and yields can vary from year to year. </t>
  </si>
  <si>
    <t>Specifically, the cost and yields shown in the enterprise budget on the first page are believed  to be fairly representative of conditions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</si>
  <si>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</si>
  <si>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t xml:space="preserve">  Tractor</t>
  </si>
  <si>
    <t>Baling</t>
  </si>
  <si>
    <t>Mowing</t>
  </si>
  <si>
    <r>
      <t>Price</t>
    </r>
    <r>
      <rPr>
        <b/>
        <vertAlign val="superscript"/>
        <sz val="10"/>
        <rFont val="Arial"/>
        <family val="2"/>
      </rPr>
      <t>b</t>
    </r>
  </si>
  <si>
    <r>
      <t>RETURNS ABOVE ALL SPECIFIED COSTS</t>
    </r>
    <r>
      <rPr>
        <b/>
        <vertAlign val="superscript"/>
        <sz val="10"/>
        <rFont val="Arial"/>
        <family val="2"/>
      </rPr>
      <t>C</t>
    </r>
  </si>
  <si>
    <r>
      <t xml:space="preserve">      -Annual Operating Capital</t>
    </r>
    <r>
      <rPr>
        <vertAlign val="superscript"/>
        <sz val="10"/>
        <rFont val="Arial"/>
        <family val="2"/>
      </rPr>
      <t>a</t>
    </r>
  </si>
  <si>
    <r>
      <t xml:space="preserve">b </t>
    </r>
    <r>
      <rPr>
        <sz val="10"/>
        <rFont val="Arial"/>
        <family val="2"/>
      </rPr>
      <t xml:space="preserve">Only include a price if hay is being made as a custom hay making enterprise.  </t>
    </r>
  </si>
  <si>
    <r>
      <t xml:space="preserve">c </t>
    </r>
    <r>
      <rPr>
        <sz val="10"/>
        <rFont val="Arial"/>
        <family val="2"/>
      </rPr>
      <t xml:space="preserve">This is the cost of harvesting hay when producing hay for your own use. </t>
    </r>
  </si>
  <si>
    <t>Budget does not include cost of producing the hay crop.</t>
  </si>
  <si>
    <t xml:space="preserve">  + Equipment</t>
  </si>
  <si>
    <t>AVERAGE TOTAL COST PER TON OF DRY MATTER HARVESTED</t>
  </si>
  <si>
    <t>This table shows the total cost per ton of dry matter harvested under various assumptions about costs and yield per cutting.</t>
  </si>
  <si>
    <t>Raking, turning</t>
  </si>
  <si>
    <r>
      <t xml:space="preserve">a </t>
    </r>
    <r>
      <rPr>
        <sz val="10"/>
        <rFont val="Arial"/>
        <family val="2"/>
      </rPr>
      <t>Interest on operating expenses for an average of 6 months.</t>
    </r>
  </si>
  <si>
    <t>Budget 84-2</t>
  </si>
  <si>
    <t>Ball</t>
  </si>
  <si>
    <r>
      <t>Hay Harvest Costs, Large Round Bales:</t>
    </r>
    <r>
      <rPr>
        <sz val="12"/>
        <rFont val="Arial"/>
        <family val="2"/>
      </rPr>
      <t xml:space="preserve">  Estimated annual revenue, operating</t>
    </r>
  </si>
  <si>
    <t xml:space="preserve">cost, fixed cost and net returns per acre at one ton of dry matter per acre yield.        </t>
  </si>
  <si>
    <t>TOTAL</t>
  </si>
  <si>
    <t>Comments</t>
  </si>
  <si>
    <t xml:space="preserve">      -Bale Net Wrap</t>
  </si>
  <si>
    <t xml:space="preserve"> 9,840' Roll</t>
  </si>
  <si>
    <t xml:space="preserve">  + Tedder/Rake</t>
  </si>
  <si>
    <t>Budget includes moving bales from the field to a storage site.  Cost of storage is not included.</t>
  </si>
  <si>
    <t xml:space="preserve">J.T. Green, Jr., Crop Science Extension Specialist, NCSU (Retired).  </t>
  </si>
  <si>
    <t xml:space="preserve">Multiply the dry matter cost shown in this budget by the hay dry matter % to convert the DM cost to the cost of </t>
  </si>
  <si>
    <t>Divide the sale price of hay as made by the dry matter % to convert this hay price to a price per ton of dry matter.</t>
  </si>
  <si>
    <t xml:space="preserve">  + 4' X 4' Baler</t>
  </si>
  <si>
    <t>A yield per cutting of one ton of dry matter is equal to 1.18 tons of well cured hay at 85% dry matter (15% moisture).</t>
  </si>
  <si>
    <t>G.A. Benson, Extension Economist, NCSU (Retired).</t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</si>
  <si>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</si>
  <si>
    <t>hay as made. E.g., $82.97/DM ton X 0.85 = $70.52/ton of hay as made.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</si>
</sst>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[$-409]mmm\-yy;@"/>
  </numFmts>
  <fonts count="4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7" fontId="2" fillId="0" borderId="11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165" fontId="0" fillId="0" borderId="16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Alignment="1">
      <alignment horizontal="center"/>
    </xf>
    <xf numFmtId="165" fontId="1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7" fontId="2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165" fontId="2" fillId="0" borderId="1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>
      <alignment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7" fontId="2" fillId="34" borderId="11" xfId="0" applyNumberFormat="1" applyFont="1" applyFill="1" applyBorder="1" applyAlignment="1" applyProtection="1">
      <alignment horizontal="center"/>
      <protection locked="0"/>
    </xf>
    <xf numFmtId="2" fontId="2" fillId="34" borderId="11" xfId="0" applyNumberFormat="1" applyFont="1" applyFill="1" applyBorder="1" applyAlignment="1" applyProtection="1">
      <alignment horizontal="center"/>
      <protection locked="0"/>
    </xf>
    <xf numFmtId="168" fontId="2" fillId="34" borderId="11" xfId="0" applyNumberFormat="1" applyFont="1" applyFill="1" applyBorder="1" applyAlignment="1" applyProtection="1">
      <alignment horizontal="center"/>
      <protection locked="0"/>
    </xf>
    <xf numFmtId="8" fontId="2" fillId="34" borderId="11" xfId="0" applyNumberFormat="1" applyFont="1" applyFill="1" applyBorder="1" applyAlignment="1" applyProtection="1">
      <alignment/>
      <protection locked="0"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5" fontId="6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4" fontId="0" fillId="34" borderId="0" xfId="0" applyNumberFormat="1" applyFont="1" applyFill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2" fillId="0" borderId="23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6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2743200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43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0" zoomScaleNormal="80" zoomScalePageLayoutView="0" workbookViewId="0" topLeftCell="A1">
      <selection activeCell="A7" sqref="A7"/>
    </sheetView>
  </sheetViews>
  <sheetFormatPr defaultColWidth="9.00390625" defaultRowHeight="14.25"/>
  <cols>
    <col min="1" max="1" width="36.375" style="0" customWidth="1"/>
    <col min="2" max="2" width="9.375" style="0" customWidth="1"/>
    <col min="5" max="5" width="10.00390625" style="0" customWidth="1"/>
    <col min="6" max="6" width="14.00390625" style="0" customWidth="1"/>
  </cols>
  <sheetData>
    <row r="1" spans="1:6" ht="24" customHeight="1">
      <c r="A1" s="132"/>
      <c r="B1" s="132"/>
      <c r="C1" s="132"/>
      <c r="D1" s="134"/>
      <c r="E1" s="132"/>
      <c r="F1" s="132"/>
    </row>
    <row r="2" spans="1:6" ht="18.75" customHeight="1">
      <c r="A2" s="96" t="s">
        <v>112</v>
      </c>
      <c r="F2" s="95" t="s">
        <v>110</v>
      </c>
    </row>
    <row r="3" spans="1:6" ht="15">
      <c r="A3" s="131" t="s">
        <v>113</v>
      </c>
      <c r="B3" s="130"/>
      <c r="C3" s="130"/>
      <c r="D3" s="130"/>
      <c r="E3" s="130"/>
      <c r="F3" s="135">
        <v>41426</v>
      </c>
    </row>
    <row r="4" spans="1:6" ht="7.5" customHeight="1">
      <c r="A4" s="1"/>
      <c r="B4" s="1"/>
      <c r="C4" s="1"/>
      <c r="D4" s="1"/>
      <c r="E4" s="1"/>
      <c r="F4" s="1"/>
    </row>
    <row r="5" spans="1:6" ht="14.25">
      <c r="A5" s="2" t="s">
        <v>0</v>
      </c>
      <c r="B5" s="3" t="s">
        <v>1</v>
      </c>
      <c r="C5" s="4" t="s">
        <v>2</v>
      </c>
      <c r="D5" s="3" t="s">
        <v>3</v>
      </c>
      <c r="E5" s="5" t="s">
        <v>4</v>
      </c>
      <c r="F5" s="3" t="s">
        <v>115</v>
      </c>
    </row>
    <row r="6" spans="1:6" ht="14.25">
      <c r="A6" s="2" t="s">
        <v>5</v>
      </c>
      <c r="B6" s="6"/>
      <c r="C6" s="7"/>
      <c r="D6" s="8"/>
      <c r="E6" s="14"/>
      <c r="F6" s="7"/>
    </row>
    <row r="7" spans="1:6" ht="14.25">
      <c r="A7" s="99" t="s">
        <v>8</v>
      </c>
      <c r="B7" s="100" t="s">
        <v>111</v>
      </c>
      <c r="C7" s="101">
        <v>15</v>
      </c>
      <c r="D7" s="102">
        <v>0.06</v>
      </c>
      <c r="E7" s="97">
        <f>C7*D7</f>
        <v>0.8999999999999999</v>
      </c>
      <c r="F7" s="7"/>
    </row>
    <row r="8" spans="1:6" ht="14.25">
      <c r="A8" s="99" t="s">
        <v>116</v>
      </c>
      <c r="B8" s="100" t="s">
        <v>117</v>
      </c>
      <c r="C8" s="101">
        <v>260</v>
      </c>
      <c r="D8" s="102">
        <v>0</v>
      </c>
      <c r="E8" s="14">
        <f>C8*D8</f>
        <v>0</v>
      </c>
      <c r="F8" s="7"/>
    </row>
    <row r="9" spans="1:6" ht="14.25">
      <c r="A9" s="99" t="s">
        <v>9</v>
      </c>
      <c r="B9" s="100"/>
      <c r="C9" s="101"/>
      <c r="D9" s="102"/>
      <c r="E9" s="14">
        <f>C9*D9</f>
        <v>0</v>
      </c>
      <c r="F9" s="7"/>
    </row>
    <row r="10" spans="1:6" ht="14.25">
      <c r="A10" s="99" t="s">
        <v>9</v>
      </c>
      <c r="B10" s="100"/>
      <c r="C10" s="101"/>
      <c r="D10" s="102"/>
      <c r="E10" s="14">
        <f>C10*D10</f>
        <v>0</v>
      </c>
      <c r="F10" s="7"/>
    </row>
    <row r="11" spans="1:6" ht="14.25">
      <c r="A11" s="7" t="s">
        <v>71</v>
      </c>
      <c r="B11" s="6"/>
      <c r="C11" s="88"/>
      <c r="D11" s="20"/>
      <c r="E11" s="19">
        <f>'HayLRBFixedCosts84-2'!N49</f>
        <v>25.319379157427935</v>
      </c>
      <c r="F11" s="7"/>
    </row>
    <row r="12" spans="1:6" ht="14.25">
      <c r="A12" s="99" t="s">
        <v>21</v>
      </c>
      <c r="B12" s="100" t="s">
        <v>10</v>
      </c>
      <c r="C12" s="101">
        <v>12</v>
      </c>
      <c r="D12" s="102">
        <v>0</v>
      </c>
      <c r="E12" s="19">
        <f>C12*D12</f>
        <v>0</v>
      </c>
      <c r="F12" s="7"/>
    </row>
    <row r="13" spans="1:6" ht="14.25">
      <c r="A13" s="7" t="s">
        <v>72</v>
      </c>
      <c r="B13" s="6" t="s">
        <v>7</v>
      </c>
      <c r="C13" s="88"/>
      <c r="D13" s="20"/>
      <c r="E13" s="19">
        <f>'HayLRBFixedCosts84-2'!L49</f>
        <v>26.602332292682927</v>
      </c>
      <c r="F13" s="7"/>
    </row>
    <row r="14" spans="1:6" ht="14.25">
      <c r="A14" s="7" t="s">
        <v>101</v>
      </c>
      <c r="B14" s="6" t="s">
        <v>22</v>
      </c>
      <c r="C14" s="103">
        <v>0.05</v>
      </c>
      <c r="D14" s="21">
        <f>SUM(E7:E13)*(6/12)</f>
        <v>26.41085572505543</v>
      </c>
      <c r="E14" s="14">
        <f>C14*D14</f>
        <v>1.3205427862527717</v>
      </c>
      <c r="F14" s="7"/>
    </row>
    <row r="15" spans="1:6" ht="18.75" customHeight="1">
      <c r="A15" s="2" t="s">
        <v>11</v>
      </c>
      <c r="B15" s="6"/>
      <c r="C15" s="7"/>
      <c r="D15" s="20"/>
      <c r="E15" s="98">
        <f>SUM(E7:E14)</f>
        <v>54.142254236363634</v>
      </c>
      <c r="F15" s="7"/>
    </row>
    <row r="16" spans="1:6" ht="6.75" customHeight="1">
      <c r="A16" s="91"/>
      <c r="B16" s="10"/>
      <c r="C16" s="10"/>
      <c r="D16" s="10"/>
      <c r="E16" s="22"/>
      <c r="F16" s="11"/>
    </row>
    <row r="17" spans="1:6" ht="14.25">
      <c r="A17" s="7"/>
      <c r="B17" s="7"/>
      <c r="C17" s="3"/>
      <c r="D17" s="5" t="s">
        <v>12</v>
      </c>
      <c r="E17" s="23" t="s">
        <v>4</v>
      </c>
      <c r="F17" s="3"/>
    </row>
    <row r="18" spans="1:6" ht="15" customHeight="1">
      <c r="A18" s="7" t="s">
        <v>13</v>
      </c>
      <c r="B18" s="7"/>
      <c r="C18" s="12"/>
      <c r="D18" s="9"/>
      <c r="E18" s="14"/>
      <c r="F18" s="7"/>
    </row>
    <row r="19" spans="1:6" ht="14.25" customHeight="1">
      <c r="A19" s="7" t="s">
        <v>88</v>
      </c>
      <c r="B19" s="7"/>
      <c r="C19" s="12"/>
      <c r="D19" s="9"/>
      <c r="E19" s="14"/>
      <c r="F19" s="7"/>
    </row>
    <row r="20" spans="1:6" ht="14.25" customHeight="1">
      <c r="A20" s="7" t="s">
        <v>87</v>
      </c>
      <c r="B20" s="7"/>
      <c r="C20" s="12"/>
      <c r="D20" s="9"/>
      <c r="E20" s="19">
        <f>'HayLRBFixedCosts84-2'!O25</f>
        <v>30.96972025720621</v>
      </c>
      <c r="F20" s="7"/>
    </row>
    <row r="21" spans="1:6" ht="15" customHeight="1">
      <c r="A21" s="2" t="s">
        <v>14</v>
      </c>
      <c r="B21" s="7"/>
      <c r="C21" s="9"/>
      <c r="D21" s="7"/>
      <c r="E21" s="98">
        <f>E15+E20</f>
        <v>85.11197449356985</v>
      </c>
      <c r="F21" s="7"/>
    </row>
    <row r="22" spans="1:6" ht="6.75" customHeight="1">
      <c r="A22" s="91"/>
      <c r="B22" s="10"/>
      <c r="C22" s="10"/>
      <c r="D22" s="10"/>
      <c r="E22" s="10"/>
      <c r="F22" s="13"/>
    </row>
    <row r="23" spans="1:6" ht="19.5" customHeight="1">
      <c r="A23" s="7"/>
      <c r="B23" s="3" t="s">
        <v>1</v>
      </c>
      <c r="C23" s="4" t="s">
        <v>99</v>
      </c>
      <c r="D23" s="3" t="s">
        <v>3</v>
      </c>
      <c r="E23" s="5" t="s">
        <v>4</v>
      </c>
      <c r="F23" s="3"/>
    </row>
    <row r="24" spans="1:6" ht="15" customHeight="1">
      <c r="A24" s="7" t="s">
        <v>15</v>
      </c>
      <c r="B24" s="7"/>
      <c r="C24" s="7"/>
      <c r="D24" s="7"/>
      <c r="E24" s="7"/>
      <c r="F24" s="7"/>
    </row>
    <row r="25" spans="1:6" ht="15" customHeight="1">
      <c r="A25" s="99" t="s">
        <v>16</v>
      </c>
      <c r="B25" s="100" t="s">
        <v>6</v>
      </c>
      <c r="C25" s="104">
        <v>0</v>
      </c>
      <c r="D25" s="102">
        <v>1</v>
      </c>
      <c r="E25" s="14">
        <f>C25*D25</f>
        <v>0</v>
      </c>
      <c r="F25" s="7"/>
    </row>
    <row r="26" spans="1:6" ht="17.25" customHeight="1">
      <c r="A26" s="2" t="s">
        <v>17</v>
      </c>
      <c r="B26" s="7"/>
      <c r="C26" s="7"/>
      <c r="D26" s="7"/>
      <c r="E26" s="98">
        <f>E25</f>
        <v>0</v>
      </c>
      <c r="F26" s="7"/>
    </row>
    <row r="27" spans="1:6" ht="6.75" customHeight="1">
      <c r="A27" s="15"/>
      <c r="B27" s="15"/>
      <c r="C27" s="15"/>
      <c r="D27" s="15"/>
      <c r="E27" s="24"/>
      <c r="F27" s="15"/>
    </row>
    <row r="28" spans="1:6" ht="18.75" customHeight="1">
      <c r="A28" s="92" t="s">
        <v>18</v>
      </c>
      <c r="B28" s="94"/>
      <c r="C28" s="94"/>
      <c r="D28" s="93"/>
      <c r="E28" s="98">
        <f>E26-E15</f>
        <v>-54.142254236363634</v>
      </c>
      <c r="F28" s="7"/>
    </row>
    <row r="29" spans="1:6" ht="18.75" customHeight="1">
      <c r="A29" s="92" t="s">
        <v>100</v>
      </c>
      <c r="B29" s="94"/>
      <c r="C29" s="94"/>
      <c r="D29" s="93"/>
      <c r="E29" s="98">
        <f>E26-E21</f>
        <v>-85.11197449356985</v>
      </c>
      <c r="F29" s="7"/>
    </row>
    <row r="30" spans="1:6" ht="19.5" customHeight="1">
      <c r="A30" s="18" t="s">
        <v>109</v>
      </c>
      <c r="B30" s="16"/>
      <c r="C30" s="16"/>
      <c r="D30" s="16"/>
      <c r="E30" s="17"/>
      <c r="F30" s="16"/>
    </row>
    <row r="31" spans="1:6" ht="16.5" customHeight="1">
      <c r="A31" s="18" t="s">
        <v>102</v>
      </c>
      <c r="B31" s="16"/>
      <c r="C31" s="16"/>
      <c r="D31" s="16"/>
      <c r="E31" s="17"/>
      <c r="F31" s="16"/>
    </row>
    <row r="32" spans="1:6" ht="15.75" customHeight="1">
      <c r="A32" s="18" t="s">
        <v>103</v>
      </c>
      <c r="B32" s="16"/>
      <c r="C32" s="16"/>
      <c r="D32" s="16"/>
      <c r="E32" s="82"/>
      <c r="F32" s="16"/>
    </row>
    <row r="33" spans="2:6" ht="14.25">
      <c r="B33" s="16"/>
      <c r="C33" s="16"/>
      <c r="D33" s="16"/>
      <c r="E33" s="17"/>
      <c r="F33" s="16"/>
    </row>
    <row r="34" spans="1:6" ht="13.5" customHeight="1">
      <c r="A34" t="s">
        <v>20</v>
      </c>
      <c r="B34" s="16"/>
      <c r="C34" s="16"/>
      <c r="D34" s="16"/>
      <c r="E34" s="17"/>
      <c r="F34" s="16"/>
    </row>
    <row r="35" spans="1:6" ht="16.5" customHeight="1">
      <c r="A35" s="16" t="s">
        <v>104</v>
      </c>
      <c r="B35" s="16"/>
      <c r="C35" s="16"/>
      <c r="D35" s="16"/>
      <c r="E35" s="17"/>
      <c r="F35" s="16"/>
    </row>
    <row r="36" spans="1:6" ht="16.5" customHeight="1">
      <c r="A36" s="16" t="s">
        <v>119</v>
      </c>
      <c r="B36" s="16"/>
      <c r="C36" s="16"/>
      <c r="D36" s="16"/>
      <c r="E36" s="17"/>
      <c r="F36" s="16"/>
    </row>
    <row r="37" spans="1:6" ht="15.75" customHeight="1">
      <c r="A37" s="16" t="s">
        <v>124</v>
      </c>
      <c r="B37" s="16"/>
      <c r="C37" s="16"/>
      <c r="D37" s="16"/>
      <c r="E37" s="17"/>
      <c r="F37" s="16"/>
    </row>
    <row r="38" spans="1:6" ht="15.75" customHeight="1">
      <c r="A38" s="16" t="s">
        <v>121</v>
      </c>
      <c r="B38" s="16"/>
      <c r="C38" s="16"/>
      <c r="D38" s="16"/>
      <c r="E38" s="17"/>
      <c r="F38" s="16"/>
    </row>
    <row r="39" spans="1:6" ht="15.75" customHeight="1">
      <c r="A39" s="16" t="s">
        <v>127</v>
      </c>
      <c r="B39" s="16"/>
      <c r="C39" s="16"/>
      <c r="D39" s="16"/>
      <c r="E39" s="17"/>
      <c r="F39" s="16"/>
    </row>
    <row r="40" spans="1:6" ht="15.75" customHeight="1">
      <c r="A40" s="16" t="s">
        <v>122</v>
      </c>
      <c r="B40" s="16"/>
      <c r="C40" s="16"/>
      <c r="D40" s="16"/>
      <c r="E40" s="17"/>
      <c r="F40" s="16"/>
    </row>
    <row r="41" spans="1:6" ht="18" customHeight="1">
      <c r="A41" s="16"/>
      <c r="B41" s="16"/>
      <c r="C41" s="16"/>
      <c r="D41" s="16"/>
      <c r="E41" s="17"/>
      <c r="F41" s="16"/>
    </row>
    <row r="42" spans="1:6" ht="18" customHeight="1">
      <c r="A42" s="16" t="s">
        <v>19</v>
      </c>
      <c r="B42" s="16"/>
      <c r="C42" s="16"/>
      <c r="D42" s="16"/>
      <c r="E42" s="17"/>
      <c r="F42" s="16"/>
    </row>
    <row r="43" spans="1:6" ht="14.25">
      <c r="A43" s="16" t="s">
        <v>120</v>
      </c>
      <c r="B43" s="16"/>
      <c r="C43" s="16"/>
      <c r="D43" s="16"/>
      <c r="E43" s="17"/>
      <c r="F43" s="16"/>
    </row>
    <row r="44" spans="1:6" ht="14.25">
      <c r="A44" s="16" t="s">
        <v>125</v>
      </c>
      <c r="B44" s="16"/>
      <c r="C44" s="16"/>
      <c r="D44" s="16"/>
      <c r="E44" s="17"/>
      <c r="F44" s="16"/>
    </row>
    <row r="45" spans="2:6" ht="14.25">
      <c r="B45" s="16"/>
      <c r="C45" s="16"/>
      <c r="D45" s="16"/>
      <c r="E45" s="17"/>
      <c r="F45" s="16"/>
    </row>
  </sheetData>
  <sheetProtection sheet="1" selectLockedCells="1"/>
  <printOptions horizontalCentered="1"/>
  <pageMargins left="0.81" right="0.58" top="1" bottom="1" header="0.5" footer="0.5"/>
  <pageSetup horizontalDpi="1200" verticalDpi="12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70" zoomScaleNormal="70" zoomScalePageLayoutView="0" workbookViewId="0" topLeftCell="A1">
      <selection activeCell="G7" sqref="G7"/>
    </sheetView>
  </sheetViews>
  <sheetFormatPr defaultColWidth="9.00390625" defaultRowHeight="14.25"/>
  <cols>
    <col min="1" max="1" width="20.75390625" style="0" customWidth="1"/>
    <col min="2" max="2" width="5.00390625" style="0" customWidth="1"/>
    <col min="3" max="3" width="9.625" style="0" customWidth="1"/>
    <col min="4" max="4" width="9.875" style="0" customWidth="1"/>
    <col min="5" max="5" width="9.375" style="0" customWidth="1"/>
    <col min="7" max="7" width="9.375" style="0" customWidth="1"/>
    <col min="10" max="10" width="9.375" style="0" customWidth="1"/>
    <col min="11" max="11" width="9.625" style="0" customWidth="1"/>
    <col min="12" max="12" width="10.375" style="0" customWidth="1"/>
    <col min="13" max="13" width="10.25390625" style="0" customWidth="1"/>
    <col min="15" max="15" width="10.50390625" style="0" customWidth="1"/>
  </cols>
  <sheetData>
    <row r="1" spans="1:15" ht="18" customHeight="1">
      <c r="A1" s="71" t="str">
        <f>'HayLRBBudget84-2'!A2</f>
        <v>Hay Harvest Costs, Large Round Bales:  Estimated annual revenue, operating</v>
      </c>
      <c r="B1" s="25"/>
      <c r="C1" s="26"/>
      <c r="D1" s="26"/>
      <c r="E1" s="26"/>
      <c r="F1" s="26"/>
      <c r="G1" s="26"/>
      <c r="H1" s="27"/>
      <c r="J1" s="60"/>
      <c r="K1" s="26"/>
      <c r="L1" s="26"/>
      <c r="O1" s="28" t="str">
        <f>'HayLRBBudget84-2'!F2</f>
        <v>Budget 84-2</v>
      </c>
    </row>
    <row r="2" spans="1:15" ht="14.25">
      <c r="A2" s="26" t="str">
        <f>'HayLRBBudget84-2'!A3</f>
        <v>cost, fixed cost and net returns per acre at one ton of dry matter per acre yield.        </v>
      </c>
      <c r="B2" s="26"/>
      <c r="C2" s="26"/>
      <c r="D2" s="26"/>
      <c r="E2" s="26"/>
      <c r="F2" s="26"/>
      <c r="G2" s="26"/>
      <c r="H2" s="29"/>
      <c r="J2" s="26"/>
      <c r="K2" s="26"/>
      <c r="L2" s="26"/>
      <c r="O2" s="136">
        <f>'HayLRBBudget84-2'!F3</f>
        <v>41426</v>
      </c>
    </row>
    <row r="3" spans="1:13" ht="21" customHeight="1">
      <c r="A3" s="30" t="s">
        <v>23</v>
      </c>
      <c r="B3" s="30"/>
      <c r="C3" s="31"/>
      <c r="D3" s="31"/>
      <c r="E3" s="31"/>
      <c r="F3" s="31"/>
      <c r="G3" s="31"/>
      <c r="H3" s="26"/>
      <c r="I3" s="26"/>
      <c r="J3" s="26"/>
      <c r="K3" s="26"/>
      <c r="L3" s="26"/>
      <c r="M3" s="26"/>
    </row>
    <row r="4" spans="1:15" ht="17.25">
      <c r="A4" s="32" t="s">
        <v>24</v>
      </c>
      <c r="B4" s="33"/>
      <c r="C4" s="33" t="s">
        <v>25</v>
      </c>
      <c r="D4" s="33" t="s">
        <v>26</v>
      </c>
      <c r="E4" s="33" t="s">
        <v>27</v>
      </c>
      <c r="F4" s="34" t="s">
        <v>28</v>
      </c>
      <c r="G4" s="34" t="s">
        <v>29</v>
      </c>
      <c r="H4" s="33" t="s">
        <v>30</v>
      </c>
      <c r="I4" s="33" t="s">
        <v>31</v>
      </c>
      <c r="J4" s="35" t="s">
        <v>31</v>
      </c>
      <c r="K4" s="35" t="s">
        <v>32</v>
      </c>
      <c r="L4" s="35" t="s">
        <v>33</v>
      </c>
      <c r="M4" s="35" t="s">
        <v>34</v>
      </c>
      <c r="N4" s="33" t="s">
        <v>35</v>
      </c>
      <c r="O4" s="35" t="s">
        <v>36</v>
      </c>
    </row>
    <row r="5" spans="1:15" ht="17.25">
      <c r="A5" s="36"/>
      <c r="B5" s="36"/>
      <c r="C5" s="36"/>
      <c r="D5" s="36" t="s">
        <v>37</v>
      </c>
      <c r="E5" s="36" t="s">
        <v>4</v>
      </c>
      <c r="F5" s="37" t="s">
        <v>38</v>
      </c>
      <c r="G5" s="36"/>
      <c r="H5" s="37" t="s">
        <v>39</v>
      </c>
      <c r="I5" s="36" t="s">
        <v>32</v>
      </c>
      <c r="J5" s="38" t="s">
        <v>40</v>
      </c>
      <c r="K5" s="38" t="s">
        <v>41</v>
      </c>
      <c r="L5" s="38" t="s">
        <v>41</v>
      </c>
      <c r="M5" s="38" t="s">
        <v>42</v>
      </c>
      <c r="N5" s="36" t="s">
        <v>43</v>
      </c>
      <c r="O5" s="38" t="s">
        <v>34</v>
      </c>
    </row>
    <row r="6" spans="1:15" ht="14.25">
      <c r="A6" s="31"/>
      <c r="B6" s="31"/>
      <c r="C6" s="39" t="s">
        <v>44</v>
      </c>
      <c r="D6" s="39" t="s">
        <v>22</v>
      </c>
      <c r="E6" s="39" t="s">
        <v>22</v>
      </c>
      <c r="F6" s="39" t="s">
        <v>22</v>
      </c>
      <c r="G6" s="39" t="s">
        <v>22</v>
      </c>
      <c r="H6" s="39" t="s">
        <v>22</v>
      </c>
      <c r="I6" s="39" t="s">
        <v>22</v>
      </c>
      <c r="J6" s="39" t="s">
        <v>10</v>
      </c>
      <c r="K6" s="39" t="s">
        <v>22</v>
      </c>
      <c r="L6" s="39" t="s">
        <v>45</v>
      </c>
      <c r="M6" s="39" t="s">
        <v>22</v>
      </c>
      <c r="N6" s="40" t="s">
        <v>45</v>
      </c>
      <c r="O6" s="39" t="s">
        <v>46</v>
      </c>
    </row>
    <row r="7" spans="1:15" ht="14.25">
      <c r="A7" s="26" t="s">
        <v>75</v>
      </c>
      <c r="B7" s="26"/>
      <c r="C7" s="39"/>
      <c r="D7" s="39"/>
      <c r="E7" s="39"/>
      <c r="F7" s="39"/>
      <c r="G7" s="105">
        <v>0.05</v>
      </c>
      <c r="H7" s="105">
        <v>0.014</v>
      </c>
      <c r="I7" s="41"/>
      <c r="J7" s="26"/>
      <c r="K7" s="26"/>
      <c r="L7" s="26"/>
      <c r="M7" s="26"/>
      <c r="N7" s="26"/>
      <c r="O7" s="26"/>
    </row>
    <row r="8" spans="1:15" ht="14.25">
      <c r="A8" s="26" t="s">
        <v>98</v>
      </c>
      <c r="B8" s="26"/>
      <c r="C8" s="47"/>
      <c r="D8" s="43"/>
      <c r="E8" s="43"/>
      <c r="F8" s="43"/>
      <c r="G8" s="44"/>
      <c r="H8" s="44"/>
      <c r="I8" s="43"/>
      <c r="J8" s="48"/>
      <c r="K8" s="46"/>
      <c r="L8" s="47"/>
      <c r="M8" s="45"/>
      <c r="N8" s="39"/>
      <c r="O8" s="26"/>
    </row>
    <row r="9" spans="1:15" ht="14.25">
      <c r="A9" s="42" t="s">
        <v>86</v>
      </c>
      <c r="B9" s="106">
        <v>55</v>
      </c>
      <c r="C9" s="107">
        <v>10</v>
      </c>
      <c r="D9" s="108">
        <v>23150</v>
      </c>
      <c r="E9" s="128">
        <f>D9*0.31</f>
        <v>7176.5</v>
      </c>
      <c r="F9" s="43">
        <f>+(D9-E9)/C9</f>
        <v>1597.35</v>
      </c>
      <c r="G9" s="44">
        <f>+((D9+E9)/2)*$G$7</f>
        <v>758.1625</v>
      </c>
      <c r="H9" s="44">
        <f>((D9+E9)/2)*$H$7</f>
        <v>212.2855</v>
      </c>
      <c r="I9" s="44">
        <f>SUM(F9:H9)</f>
        <v>2567.798</v>
      </c>
      <c r="J9" s="110">
        <v>500</v>
      </c>
      <c r="K9" s="45">
        <f>IF(J9=0,0,I9/J9)</f>
        <v>5.135596</v>
      </c>
      <c r="L9" s="107">
        <v>4.1</v>
      </c>
      <c r="M9" s="45">
        <f>IF(K9&gt;0,K9/L9,0)</f>
        <v>1.2525843902439024</v>
      </c>
      <c r="N9" s="111">
        <v>1</v>
      </c>
      <c r="O9" s="45">
        <f>M9*N9</f>
        <v>1.2525843902439024</v>
      </c>
    </row>
    <row r="10" spans="1:15" ht="14.25">
      <c r="A10" s="106" t="s">
        <v>79</v>
      </c>
      <c r="B10" s="109"/>
      <c r="C10" s="107">
        <v>10</v>
      </c>
      <c r="D10" s="108">
        <v>22525</v>
      </c>
      <c r="E10" s="128">
        <f>D10*0.3</f>
        <v>6757.5</v>
      </c>
      <c r="F10" s="43">
        <f>+(D10-E10)/C10</f>
        <v>1576.75</v>
      </c>
      <c r="G10" s="44">
        <f>+((D10+E10)/2)*$G$7</f>
        <v>732.0625</v>
      </c>
      <c r="H10" s="44">
        <f>((D10+E10)/2)*$H$7</f>
        <v>204.9775</v>
      </c>
      <c r="I10" s="44">
        <f>SUM(F10:H10)</f>
        <v>2513.79</v>
      </c>
      <c r="J10" s="110">
        <v>100</v>
      </c>
      <c r="K10" s="45">
        <f>IF(J10=0,0,I10/J10)</f>
        <v>25.1379</v>
      </c>
      <c r="L10" s="81">
        <f>L9</f>
        <v>4.1</v>
      </c>
      <c r="M10" s="45">
        <f>IF(K10&gt;0,K10/L10,0)</f>
        <v>6.13119512195122</v>
      </c>
      <c r="N10" s="77">
        <f>N9</f>
        <v>1</v>
      </c>
      <c r="O10" s="45">
        <f>M10*N10</f>
        <v>6.13119512195122</v>
      </c>
    </row>
    <row r="11" spans="1:15" ht="14.25">
      <c r="A11" s="48" t="s">
        <v>108</v>
      </c>
      <c r="B11" s="42"/>
      <c r="C11" s="47"/>
      <c r="D11" s="43"/>
      <c r="E11" s="43"/>
      <c r="F11" s="43"/>
      <c r="G11" s="43"/>
      <c r="H11" s="43"/>
      <c r="I11" s="43"/>
      <c r="J11" s="76"/>
      <c r="K11" s="46"/>
      <c r="L11" s="47"/>
      <c r="M11" s="46"/>
      <c r="N11" s="77"/>
      <c r="O11" s="46"/>
    </row>
    <row r="12" spans="1:15" ht="14.25">
      <c r="A12" s="42" t="s">
        <v>86</v>
      </c>
      <c r="B12" s="106">
        <v>35</v>
      </c>
      <c r="C12" s="107">
        <v>10</v>
      </c>
      <c r="D12" s="108">
        <v>19075</v>
      </c>
      <c r="E12" s="128">
        <f>D12*0.31</f>
        <v>5913.25</v>
      </c>
      <c r="F12" s="43">
        <f>+(D12-E12)/C12</f>
        <v>1316.175</v>
      </c>
      <c r="G12" s="44">
        <f>+((D12+E12)/2)*$G$7</f>
        <v>624.7062500000001</v>
      </c>
      <c r="H12" s="44">
        <f>((D12+E12)/2)*$H$7</f>
        <v>174.91775</v>
      </c>
      <c r="I12" s="44">
        <f>SUM(F12:H12)</f>
        <v>2115.799</v>
      </c>
      <c r="J12" s="110">
        <v>500</v>
      </c>
      <c r="K12" s="45">
        <f>IF(J12=0,0,I12/J12)</f>
        <v>4.231598</v>
      </c>
      <c r="L12" s="107">
        <v>4.1</v>
      </c>
      <c r="M12" s="45">
        <f>IF(K12&gt;0,K12/L12,0)</f>
        <v>1.0320970731707317</v>
      </c>
      <c r="N12" s="111">
        <v>2</v>
      </c>
      <c r="O12" s="45">
        <f>M12*N12</f>
        <v>2.0641941463414635</v>
      </c>
    </row>
    <row r="13" spans="1:15" ht="14.25">
      <c r="A13" s="106" t="s">
        <v>118</v>
      </c>
      <c r="B13" s="109"/>
      <c r="C13" s="107">
        <v>10</v>
      </c>
      <c r="D13" s="108">
        <v>4650</v>
      </c>
      <c r="E13" s="128">
        <f>D13*0.25</f>
        <v>1162.5</v>
      </c>
      <c r="F13" s="43">
        <f>+(D13-E13)/C13</f>
        <v>348.75</v>
      </c>
      <c r="G13" s="44">
        <f>+((D13+E13)/2)*$G$7</f>
        <v>145.3125</v>
      </c>
      <c r="H13" s="44">
        <f>((D13+E13)/2)*$H$7</f>
        <v>40.6875</v>
      </c>
      <c r="I13" s="44">
        <f>SUM(F13:H13)</f>
        <v>534.75</v>
      </c>
      <c r="J13" s="110">
        <v>75</v>
      </c>
      <c r="K13" s="45">
        <f>IF(J13=0,0,I13/J13)</f>
        <v>7.13</v>
      </c>
      <c r="L13" s="47">
        <f>L12</f>
        <v>4.1</v>
      </c>
      <c r="M13" s="45">
        <f>IF(K13&gt;0,K13/L13,0)</f>
        <v>1.7390243902439027</v>
      </c>
      <c r="N13" s="77">
        <f>N12</f>
        <v>2</v>
      </c>
      <c r="O13" s="45">
        <f>M13*N13</f>
        <v>3.4780487804878053</v>
      </c>
    </row>
    <row r="14" spans="1:15" ht="14.25">
      <c r="A14" t="s">
        <v>97</v>
      </c>
      <c r="B14" s="42"/>
      <c r="C14" s="47"/>
      <c r="D14" s="43"/>
      <c r="E14" s="43"/>
      <c r="F14" s="43"/>
      <c r="G14" s="43"/>
      <c r="H14" s="43"/>
      <c r="I14" s="43"/>
      <c r="J14" s="76"/>
      <c r="K14" s="46"/>
      <c r="L14" s="47"/>
      <c r="M14" s="46"/>
      <c r="N14" s="77"/>
      <c r="O14" s="46"/>
    </row>
    <row r="15" spans="1:15" ht="14.25">
      <c r="A15" s="42" t="s">
        <v>86</v>
      </c>
      <c r="B15" s="112">
        <v>80</v>
      </c>
      <c r="C15" s="107">
        <v>10</v>
      </c>
      <c r="D15" s="108">
        <v>42350</v>
      </c>
      <c r="E15" s="128">
        <f>D15*0.31</f>
        <v>13128.5</v>
      </c>
      <c r="F15" s="43">
        <f>+(D15-E15)/C15</f>
        <v>2922.15</v>
      </c>
      <c r="G15" s="44">
        <f>+((D15+E15)/2)*$G$7</f>
        <v>1386.9625</v>
      </c>
      <c r="H15" s="44">
        <f>((D15+E15)/2)*$H$7</f>
        <v>388.34950000000003</v>
      </c>
      <c r="I15" s="44">
        <f>SUM(F15:H15)</f>
        <v>4697.462</v>
      </c>
      <c r="J15" s="110">
        <v>500</v>
      </c>
      <c r="K15" s="45">
        <f>IF(J15=0,0,I15/J15)</f>
        <v>9.394924000000001</v>
      </c>
      <c r="L15" s="107">
        <v>2.5</v>
      </c>
      <c r="M15" s="45">
        <f>IF(K15&gt;0,K15/L15,0)</f>
        <v>3.7579696000000005</v>
      </c>
      <c r="N15" s="111">
        <v>1</v>
      </c>
      <c r="O15" s="45">
        <f>M15*N15</f>
        <v>3.7579696000000005</v>
      </c>
    </row>
    <row r="16" spans="1:15" ht="14.25">
      <c r="A16" s="106" t="s">
        <v>123</v>
      </c>
      <c r="B16" s="113"/>
      <c r="C16" s="107">
        <v>8</v>
      </c>
      <c r="D16" s="108">
        <v>23525</v>
      </c>
      <c r="E16" s="128">
        <f>D16*0.28</f>
        <v>6587.000000000001</v>
      </c>
      <c r="F16" s="43">
        <f>+(D16-E16)/C16</f>
        <v>2117.25</v>
      </c>
      <c r="G16" s="44">
        <f>+((D16+E16)/2)*$G$7</f>
        <v>752.8000000000001</v>
      </c>
      <c r="H16" s="44">
        <f>((D16+E16)/2)*$H$7</f>
        <v>210.784</v>
      </c>
      <c r="I16" s="44">
        <f>SUM(F16:H16)</f>
        <v>3080.8340000000003</v>
      </c>
      <c r="J16" s="110">
        <v>125</v>
      </c>
      <c r="K16" s="45">
        <f>IF(J16=0,0,I16/J16)</f>
        <v>24.646672000000002</v>
      </c>
      <c r="L16" s="47">
        <f>L15</f>
        <v>2.5</v>
      </c>
      <c r="M16" s="45">
        <f>IF(K16&gt;0,K16/L16,0)</f>
        <v>9.8586688</v>
      </c>
      <c r="N16" s="77">
        <f>N15</f>
        <v>1</v>
      </c>
      <c r="O16" s="45">
        <f>M16*N16</f>
        <v>9.8586688</v>
      </c>
    </row>
    <row r="17" spans="1:15" ht="14.25">
      <c r="A17" t="s">
        <v>73</v>
      </c>
      <c r="B17" s="42"/>
      <c r="C17" s="47"/>
      <c r="D17" s="43"/>
      <c r="E17" s="43"/>
      <c r="F17" s="43"/>
      <c r="G17" s="43"/>
      <c r="H17" s="43"/>
      <c r="I17" s="43"/>
      <c r="J17" s="76"/>
      <c r="K17" s="46"/>
      <c r="L17" s="47"/>
      <c r="M17" s="46"/>
      <c r="N17" s="77"/>
      <c r="O17" s="46"/>
    </row>
    <row r="18" spans="1:15" ht="14.25">
      <c r="A18" s="42" t="s">
        <v>86</v>
      </c>
      <c r="B18" s="112">
        <v>55</v>
      </c>
      <c r="C18" s="107">
        <v>10</v>
      </c>
      <c r="D18" s="108">
        <v>23150</v>
      </c>
      <c r="E18" s="128">
        <f>D18*0.31</f>
        <v>7176.5</v>
      </c>
      <c r="F18" s="43">
        <f>+(D18-E18)/C18</f>
        <v>1597.35</v>
      </c>
      <c r="G18" s="44">
        <f>+((D18+E18)/2)*$G$7</f>
        <v>758.1625</v>
      </c>
      <c r="H18" s="44">
        <f>((D18+E18)/2)*$H$7</f>
        <v>212.2855</v>
      </c>
      <c r="I18" s="44">
        <f>SUM(F18:H18)</f>
        <v>2567.798</v>
      </c>
      <c r="J18" s="110">
        <v>500</v>
      </c>
      <c r="K18" s="45">
        <f>IF(J18=0,0,I18/J18)</f>
        <v>5.135596</v>
      </c>
      <c r="L18" s="107">
        <v>3.3</v>
      </c>
      <c r="M18" s="45">
        <f>IF(K18&gt;0,K18/L18,0)</f>
        <v>1.5562412121212121</v>
      </c>
      <c r="N18" s="111">
        <v>1</v>
      </c>
      <c r="O18" s="45">
        <f>M18*N18</f>
        <v>1.5562412121212121</v>
      </c>
    </row>
    <row r="19" spans="1:15" ht="14.25">
      <c r="A19" s="114" t="s">
        <v>78</v>
      </c>
      <c r="B19" s="115"/>
      <c r="C19" s="116">
        <v>10</v>
      </c>
      <c r="D19" s="117">
        <v>325</v>
      </c>
      <c r="E19" s="129">
        <f>D19*0.35</f>
        <v>113.74999999999999</v>
      </c>
      <c r="F19" s="79">
        <f>+(D19-E19)/C19</f>
        <v>21.125</v>
      </c>
      <c r="G19" s="44">
        <f>+((D19+E19)/2)*$G$7</f>
        <v>10.96875</v>
      </c>
      <c r="H19" s="44">
        <f>((D19+E19)/2)*$H$7</f>
        <v>3.07125</v>
      </c>
      <c r="I19" s="57">
        <f>SUM(F19:H19)</f>
        <v>35.165</v>
      </c>
      <c r="J19" s="110">
        <v>100</v>
      </c>
      <c r="K19" s="45">
        <f>IF(J19=0,0,I19/J19)</f>
        <v>0.35165</v>
      </c>
      <c r="L19" s="47">
        <f>L18</f>
        <v>3.3</v>
      </c>
      <c r="M19" s="45">
        <f>IF(K19&gt;0,K19/L19,0)</f>
        <v>0.10656060606060608</v>
      </c>
      <c r="N19" s="77">
        <f>N18</f>
        <v>1</v>
      </c>
      <c r="O19" s="45">
        <f>M19*N19</f>
        <v>0.10656060606060608</v>
      </c>
    </row>
    <row r="20" spans="1:15" ht="14.25">
      <c r="A20" s="26" t="s">
        <v>74</v>
      </c>
      <c r="B20" s="26"/>
      <c r="C20" s="47"/>
      <c r="D20" s="43"/>
      <c r="E20" s="43"/>
      <c r="F20" s="43"/>
      <c r="G20" s="44"/>
      <c r="H20" s="44"/>
      <c r="I20" s="43"/>
      <c r="J20" s="48"/>
      <c r="K20" s="46"/>
      <c r="L20" s="47"/>
      <c r="M20" s="45"/>
      <c r="N20" s="39"/>
      <c r="O20" s="26"/>
    </row>
    <row r="21" spans="1:15" ht="14.25">
      <c r="A21" s="85" t="s">
        <v>96</v>
      </c>
      <c r="B21" s="112">
        <v>55</v>
      </c>
      <c r="C21" s="107">
        <v>10</v>
      </c>
      <c r="D21" s="108">
        <v>23150</v>
      </c>
      <c r="E21" s="128">
        <f>D21*0.31</f>
        <v>7176.5</v>
      </c>
      <c r="F21" s="43">
        <f>+(D21-E21)/C21</f>
        <v>1597.35</v>
      </c>
      <c r="G21" s="44">
        <f>+((D21+E21)/2)*$G$7</f>
        <v>758.1625</v>
      </c>
      <c r="H21" s="44">
        <f>((D21+E21)/2)*$H$7</f>
        <v>212.2855</v>
      </c>
      <c r="I21" s="44">
        <f>SUM(F21:H21)</f>
        <v>2567.798</v>
      </c>
      <c r="J21" s="110">
        <v>100</v>
      </c>
      <c r="K21" s="45">
        <f>IF(J21=0,0,I21/J21)</f>
        <v>25.677979999999998</v>
      </c>
      <c r="L21" s="107">
        <v>1</v>
      </c>
      <c r="M21" s="45">
        <f>IF(K21&gt;0,K21/L21,0)</f>
        <v>25.677979999999998</v>
      </c>
      <c r="N21" s="111">
        <v>0</v>
      </c>
      <c r="O21" s="45">
        <f>M21*N21</f>
        <v>0</v>
      </c>
    </row>
    <row r="22" spans="1:15" ht="14.25">
      <c r="A22" s="106" t="s">
        <v>105</v>
      </c>
      <c r="B22" s="109"/>
      <c r="C22" s="107">
        <v>10</v>
      </c>
      <c r="D22" s="108">
        <v>0</v>
      </c>
      <c r="E22" s="129">
        <f>D22*0.25</f>
        <v>0</v>
      </c>
      <c r="F22" s="43">
        <f>+(D22-E22)/C22</f>
        <v>0</v>
      </c>
      <c r="G22" s="44">
        <f>+((D22+E22)/2)*$G$7</f>
        <v>0</v>
      </c>
      <c r="H22" s="44">
        <f>((D22+E22)/2)*$H$7</f>
        <v>0</v>
      </c>
      <c r="I22" s="44">
        <f>SUM(F22:H22)</f>
        <v>0</v>
      </c>
      <c r="J22" s="110">
        <v>0</v>
      </c>
      <c r="K22" s="45">
        <f>IF(J22=0,0,I22/J22)</f>
        <v>0</v>
      </c>
      <c r="L22" s="47">
        <v>1</v>
      </c>
      <c r="M22" s="45">
        <f>IF(K22&gt;0,K22/L22,0)</f>
        <v>0</v>
      </c>
      <c r="N22" s="77">
        <f>N21</f>
        <v>0</v>
      </c>
      <c r="O22" s="45">
        <f>M22*N22</f>
        <v>0</v>
      </c>
    </row>
    <row r="23" spans="1:15" ht="14.25">
      <c r="A23" s="80" t="s">
        <v>74</v>
      </c>
      <c r="B23" s="80"/>
      <c r="C23" s="78"/>
      <c r="D23" s="79"/>
      <c r="E23" s="79"/>
      <c r="F23" s="79"/>
      <c r="G23" s="79"/>
      <c r="H23" s="79"/>
      <c r="I23" s="79"/>
      <c r="J23" s="76"/>
      <c r="K23" s="46"/>
      <c r="L23" s="47"/>
      <c r="M23" s="46"/>
      <c r="N23" s="77"/>
      <c r="O23" s="46"/>
    </row>
    <row r="24" spans="1:15" ht="14.25">
      <c r="A24" s="114" t="s">
        <v>77</v>
      </c>
      <c r="B24" s="118"/>
      <c r="C24" s="116">
        <v>10</v>
      </c>
      <c r="D24" s="117">
        <v>30225</v>
      </c>
      <c r="E24" s="129">
        <f>D24*0.26</f>
        <v>7858.5</v>
      </c>
      <c r="F24" s="79">
        <f>+(D24-E24)/C24</f>
        <v>2236.65</v>
      </c>
      <c r="G24" s="44">
        <f>+((D24+E24)/2)*$G$7</f>
        <v>952.0875000000001</v>
      </c>
      <c r="H24" s="140">
        <f>((D24+E24)/2)*$H$7</f>
        <v>266.5845</v>
      </c>
      <c r="I24" s="57">
        <f>SUM(F24:H24)</f>
        <v>3455.322</v>
      </c>
      <c r="J24" s="110">
        <v>500</v>
      </c>
      <c r="K24" s="45">
        <f>IF(J24=0,0,I24/J24)</f>
        <v>6.9106440000000005</v>
      </c>
      <c r="L24" s="107">
        <v>10</v>
      </c>
      <c r="M24" s="45">
        <f>IF(K24&gt;0,K24/L24,0)</f>
        <v>0.6910644</v>
      </c>
      <c r="N24" s="111">
        <v>4</v>
      </c>
      <c r="O24" s="45">
        <f>M24*N24</f>
        <v>2.7642576</v>
      </c>
    </row>
    <row r="25" spans="1:15" ht="18.75" customHeight="1">
      <c r="A25" s="86" t="s">
        <v>114</v>
      </c>
      <c r="B25" s="86"/>
      <c r="C25" s="86"/>
      <c r="D25" s="87"/>
      <c r="E25" s="87"/>
      <c r="F25" s="87"/>
      <c r="G25" s="87"/>
      <c r="H25" s="87"/>
      <c r="I25" s="87"/>
      <c r="J25" s="87"/>
      <c r="K25" s="89"/>
      <c r="L25" s="87"/>
      <c r="M25" s="90"/>
      <c r="N25" s="90"/>
      <c r="O25" s="119">
        <f>SUM(O9:O24)</f>
        <v>30.96972025720621</v>
      </c>
    </row>
    <row r="26" spans="1:13" ht="20.25" customHeight="1">
      <c r="A26" s="50" t="s">
        <v>48</v>
      </c>
      <c r="B26" s="5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6.5" customHeight="1">
      <c r="A27" s="51" t="s">
        <v>49</v>
      </c>
      <c r="B27" s="5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6.5">
      <c r="A28" s="51" t="s">
        <v>50</v>
      </c>
      <c r="B28" s="5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6.5">
      <c r="A29" s="52" t="s">
        <v>51</v>
      </c>
      <c r="B29" s="5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6.5">
      <c r="A30" s="52" t="s">
        <v>52</v>
      </c>
      <c r="B30" s="52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6.5">
      <c r="A31" s="52"/>
      <c r="B31" s="5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6.5">
      <c r="A32" s="53"/>
      <c r="B32" s="5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">
      <c r="A33" s="30" t="s">
        <v>53</v>
      </c>
      <c r="B33" s="30"/>
      <c r="C33" s="31"/>
      <c r="D33" s="31"/>
      <c r="E33" s="31"/>
      <c r="F33" s="31"/>
      <c r="G33" s="31"/>
      <c r="H33" s="26"/>
      <c r="I33" s="26"/>
      <c r="J33" s="26"/>
      <c r="K33" s="26"/>
      <c r="L33" s="26"/>
      <c r="M33" s="26"/>
    </row>
    <row r="34" spans="1:15" ht="18" customHeight="1">
      <c r="A34" s="32" t="s">
        <v>24</v>
      </c>
      <c r="B34" s="33"/>
      <c r="C34" s="33" t="s">
        <v>54</v>
      </c>
      <c r="D34" s="33" t="s">
        <v>54</v>
      </c>
      <c r="E34" s="33" t="s">
        <v>54</v>
      </c>
      <c r="F34" s="33" t="s">
        <v>55</v>
      </c>
      <c r="G34" s="33" t="s">
        <v>37</v>
      </c>
      <c r="H34" s="33" t="s">
        <v>80</v>
      </c>
      <c r="I34" s="33" t="s">
        <v>36</v>
      </c>
      <c r="J34" s="35" t="s">
        <v>33</v>
      </c>
      <c r="K34" s="33" t="s">
        <v>35</v>
      </c>
      <c r="L34" s="35" t="s">
        <v>56</v>
      </c>
      <c r="M34" s="35" t="s">
        <v>57</v>
      </c>
      <c r="N34" s="35" t="s">
        <v>57</v>
      </c>
      <c r="O34" s="35" t="s">
        <v>36</v>
      </c>
    </row>
    <row r="35" spans="1:15" ht="17.25">
      <c r="A35" s="36"/>
      <c r="B35" s="36"/>
      <c r="C35" s="37" t="s">
        <v>58</v>
      </c>
      <c r="D35" s="36" t="s">
        <v>59</v>
      </c>
      <c r="E35" s="36" t="s">
        <v>60</v>
      </c>
      <c r="F35" s="36" t="s">
        <v>40</v>
      </c>
      <c r="G35" s="36" t="s">
        <v>61</v>
      </c>
      <c r="H35" s="36" t="s">
        <v>81</v>
      </c>
      <c r="I35" s="36" t="s">
        <v>37</v>
      </c>
      <c r="J35" s="38" t="s">
        <v>41</v>
      </c>
      <c r="K35" s="36" t="s">
        <v>62</v>
      </c>
      <c r="L35" s="38" t="s">
        <v>84</v>
      </c>
      <c r="M35" s="38" t="s">
        <v>37</v>
      </c>
      <c r="N35" s="38" t="s">
        <v>85</v>
      </c>
      <c r="O35" s="38" t="s">
        <v>34</v>
      </c>
    </row>
    <row r="36" spans="1:15" ht="14.25">
      <c r="A36" s="31"/>
      <c r="B36" s="31"/>
      <c r="C36" s="39" t="s">
        <v>63</v>
      </c>
      <c r="D36" s="39" t="s">
        <v>64</v>
      </c>
      <c r="E36" s="39" t="s">
        <v>65</v>
      </c>
      <c r="F36" s="39" t="s">
        <v>66</v>
      </c>
      <c r="G36" s="39" t="s">
        <v>22</v>
      </c>
      <c r="H36" s="39" t="s">
        <v>65</v>
      </c>
      <c r="I36" s="39" t="s">
        <v>65</v>
      </c>
      <c r="J36" s="39" t="s">
        <v>45</v>
      </c>
      <c r="K36" s="40" t="s">
        <v>45</v>
      </c>
      <c r="L36" s="39" t="s">
        <v>46</v>
      </c>
      <c r="M36" s="39" t="s">
        <v>65</v>
      </c>
      <c r="N36" s="39" t="s">
        <v>46</v>
      </c>
      <c r="O36" s="39" t="s">
        <v>46</v>
      </c>
    </row>
    <row r="37" spans="1:15" ht="14.25">
      <c r="A37" s="26" t="s">
        <v>76</v>
      </c>
      <c r="B37" s="26"/>
      <c r="F37" s="39"/>
      <c r="G37" s="121">
        <v>3.45</v>
      </c>
      <c r="H37" s="41"/>
      <c r="I37" s="41"/>
      <c r="J37" s="26"/>
      <c r="K37" s="26"/>
      <c r="L37" s="26"/>
      <c r="M37" s="122">
        <v>12</v>
      </c>
      <c r="N37" s="26"/>
      <c r="O37" s="26"/>
    </row>
    <row r="38" spans="1:15" ht="14.25">
      <c r="A38" s="26" t="str">
        <f>A9</f>
        <v>  Tractor, HP=</v>
      </c>
      <c r="B38" s="26">
        <f>B9</f>
        <v>55</v>
      </c>
      <c r="C38" s="123">
        <v>0.02</v>
      </c>
      <c r="D38" s="44">
        <f>D9*C38</f>
        <v>463</v>
      </c>
      <c r="E38" s="54">
        <f>IF(D38&gt;0,D38/J9,0)</f>
        <v>0.926</v>
      </c>
      <c r="F38" s="48">
        <f>B38*0.044</f>
        <v>2.42</v>
      </c>
      <c r="G38" s="55">
        <f>$G$37</f>
        <v>3.45</v>
      </c>
      <c r="H38" s="54">
        <f>(F38*G38)*1.15</f>
        <v>9.60135</v>
      </c>
      <c r="I38" s="54">
        <f aca="true" t="shared" si="0" ref="I38:I48">E38+H38</f>
        <v>10.52735</v>
      </c>
      <c r="J38" s="84">
        <f>L9</f>
        <v>4.1</v>
      </c>
      <c r="K38" s="39">
        <f>N9</f>
        <v>1</v>
      </c>
      <c r="L38" s="45">
        <f>IF(K38&gt;0,(I38/J38)*K38*1.1,0)</f>
        <v>2.8244109756097564</v>
      </c>
      <c r="M38" s="46">
        <f>$M$37</f>
        <v>12</v>
      </c>
      <c r="N38" s="45">
        <f>IF(K38&gt;0,(M38/J38)*K38*1.15,0)</f>
        <v>3.3658536585365857</v>
      </c>
      <c r="O38" s="45">
        <f aca="true" t="shared" si="1" ref="O38:O48">L38+N38</f>
        <v>6.190264634146342</v>
      </c>
    </row>
    <row r="39" spans="1:15" ht="14.25">
      <c r="A39" s="26" t="str">
        <f>A10</f>
        <v>  + Mower-Cond.</v>
      </c>
      <c r="B39" s="26"/>
      <c r="C39" s="123">
        <v>0.04</v>
      </c>
      <c r="D39" s="44">
        <f>D10*C39</f>
        <v>901</v>
      </c>
      <c r="E39" s="54">
        <f>IF(D39&gt;0,D39/J10,0)</f>
        <v>9.01</v>
      </c>
      <c r="F39" s="48">
        <v>0</v>
      </c>
      <c r="G39" s="55">
        <v>0</v>
      </c>
      <c r="H39" s="54">
        <f>F39*G39</f>
        <v>0</v>
      </c>
      <c r="I39" s="54">
        <f t="shared" si="0"/>
        <v>9.01</v>
      </c>
      <c r="J39" s="84">
        <f>L10</f>
        <v>4.1</v>
      </c>
      <c r="K39" s="39">
        <f>N10</f>
        <v>1</v>
      </c>
      <c r="L39" s="45">
        <f aca="true" t="shared" si="2" ref="L39:L48">IF(K39&gt;0,(I39/J39)*K39*1.1,0)</f>
        <v>2.4173170731707323</v>
      </c>
      <c r="M39" s="56"/>
      <c r="N39" s="56"/>
      <c r="O39" s="45">
        <f t="shared" si="1"/>
        <v>2.4173170731707323</v>
      </c>
    </row>
    <row r="40" spans="1:15" ht="14.25">
      <c r="A40" s="26" t="str">
        <f>A12</f>
        <v>  Tractor, HP=</v>
      </c>
      <c r="B40" s="26">
        <f>B12</f>
        <v>35</v>
      </c>
      <c r="C40" s="123">
        <v>0.02</v>
      </c>
      <c r="D40" s="44">
        <f>D12*C40</f>
        <v>381.5</v>
      </c>
      <c r="E40" s="54">
        <f>IF(D40&gt;0,D40/J12,0)</f>
        <v>0.763</v>
      </c>
      <c r="F40" s="48">
        <f>B40*0.044</f>
        <v>1.5399999999999998</v>
      </c>
      <c r="G40" s="55">
        <f>$G$37</f>
        <v>3.45</v>
      </c>
      <c r="H40" s="54">
        <f>(F40*G40)*1.15</f>
        <v>6.1099499999999995</v>
      </c>
      <c r="I40" s="54">
        <f t="shared" si="0"/>
        <v>6.8729499999999994</v>
      </c>
      <c r="J40" s="84">
        <f>L12</f>
        <v>4.1</v>
      </c>
      <c r="K40" s="39">
        <f>N12</f>
        <v>2</v>
      </c>
      <c r="L40" s="45">
        <f t="shared" si="2"/>
        <v>3.6879243902439027</v>
      </c>
      <c r="M40" s="46">
        <f>$M$37</f>
        <v>12</v>
      </c>
      <c r="N40" s="45">
        <f>IF(K40&gt;0,(M40/J40)*K40*1.15,0)</f>
        <v>6.731707317073171</v>
      </c>
      <c r="O40" s="45">
        <f t="shared" si="1"/>
        <v>10.419631707317073</v>
      </c>
    </row>
    <row r="41" spans="1:15" ht="14.25">
      <c r="A41" s="26" t="str">
        <f>A13</f>
        <v>  + Tedder/Rake</v>
      </c>
      <c r="B41" s="26"/>
      <c r="C41" s="123">
        <v>0.02</v>
      </c>
      <c r="D41" s="44">
        <f>D13*C41</f>
        <v>93</v>
      </c>
      <c r="E41" s="54">
        <f>IF(D41&gt;0,D41/J13,0)</f>
        <v>1.24</v>
      </c>
      <c r="F41" s="48">
        <v>0</v>
      </c>
      <c r="G41" s="55">
        <v>0</v>
      </c>
      <c r="H41" s="54">
        <f>F41*G41</f>
        <v>0</v>
      </c>
      <c r="I41" s="54">
        <f t="shared" si="0"/>
        <v>1.24</v>
      </c>
      <c r="J41" s="84">
        <f>L13</f>
        <v>4.1</v>
      </c>
      <c r="K41" s="39">
        <f>N13</f>
        <v>2</v>
      </c>
      <c r="L41" s="45">
        <f t="shared" si="2"/>
        <v>0.6653658536585367</v>
      </c>
      <c r="M41" s="56"/>
      <c r="N41" s="56"/>
      <c r="O41" s="45">
        <f t="shared" si="1"/>
        <v>0.6653658536585367</v>
      </c>
    </row>
    <row r="42" spans="1:15" ht="14.25">
      <c r="A42" s="26" t="str">
        <f>A15</f>
        <v>  Tractor, HP=</v>
      </c>
      <c r="B42" s="26">
        <f>B15</f>
        <v>80</v>
      </c>
      <c r="C42" s="123">
        <v>0.02</v>
      </c>
      <c r="D42" s="44">
        <f>D15*C42</f>
        <v>847</v>
      </c>
      <c r="E42" s="54">
        <f>IF(D42&gt;0,D42/J15,0)</f>
        <v>1.694</v>
      </c>
      <c r="F42" s="48">
        <f>B42*0.044</f>
        <v>3.5199999999999996</v>
      </c>
      <c r="G42" s="55">
        <f>$G$37</f>
        <v>3.45</v>
      </c>
      <c r="H42" s="54">
        <f>(F42*G42)*1.15</f>
        <v>13.965599999999997</v>
      </c>
      <c r="I42" s="54">
        <f t="shared" si="0"/>
        <v>15.659599999999998</v>
      </c>
      <c r="J42" s="84">
        <f>L15</f>
        <v>2.5</v>
      </c>
      <c r="K42" s="39">
        <f>N15</f>
        <v>1</v>
      </c>
      <c r="L42" s="45">
        <f t="shared" si="2"/>
        <v>6.890224</v>
      </c>
      <c r="M42" s="46">
        <f>$M$37</f>
        <v>12</v>
      </c>
      <c r="N42" s="45">
        <f>IF(K42&gt;0,(M42/J42)*K42*1.15,0)</f>
        <v>5.52</v>
      </c>
      <c r="O42" s="45">
        <f t="shared" si="1"/>
        <v>12.410224</v>
      </c>
    </row>
    <row r="43" spans="1:15" ht="14.25">
      <c r="A43" s="26" t="str">
        <f>A16</f>
        <v>  + 4' X 4' Baler</v>
      </c>
      <c r="B43" s="26"/>
      <c r="C43" s="123">
        <v>0.01</v>
      </c>
      <c r="D43" s="44">
        <f>D16*C43</f>
        <v>235.25</v>
      </c>
      <c r="E43" s="54">
        <f>IF(D43&gt;0,D43/J16,0)</f>
        <v>1.882</v>
      </c>
      <c r="F43" s="48">
        <v>0</v>
      </c>
      <c r="G43" s="55">
        <v>0</v>
      </c>
      <c r="H43" s="54">
        <f>F43*G43</f>
        <v>0</v>
      </c>
      <c r="I43" s="54">
        <f t="shared" si="0"/>
        <v>1.882</v>
      </c>
      <c r="J43" s="84">
        <f>L16</f>
        <v>2.5</v>
      </c>
      <c r="K43" s="39">
        <f>N16</f>
        <v>1</v>
      </c>
      <c r="L43" s="45">
        <f t="shared" si="2"/>
        <v>0.8280799999999999</v>
      </c>
      <c r="M43" s="56"/>
      <c r="N43" s="56"/>
      <c r="O43" s="45">
        <f t="shared" si="1"/>
        <v>0.8280799999999999</v>
      </c>
    </row>
    <row r="44" spans="1:15" ht="14.25">
      <c r="A44" s="26" t="str">
        <f>A18</f>
        <v>  Tractor, HP=</v>
      </c>
      <c r="B44" s="26">
        <f>B18</f>
        <v>55</v>
      </c>
      <c r="C44" s="123">
        <v>0.02</v>
      </c>
      <c r="D44" s="44">
        <f>D18*C44</f>
        <v>463</v>
      </c>
      <c r="E44" s="54">
        <f>IF(D44&gt;0,D44/J18,0)</f>
        <v>0.926</v>
      </c>
      <c r="F44" s="48">
        <f>B44*0.044</f>
        <v>2.42</v>
      </c>
      <c r="G44" s="55">
        <f>$G$37</f>
        <v>3.45</v>
      </c>
      <c r="H44" s="54">
        <f>(F44*G44)*1.15</f>
        <v>9.60135</v>
      </c>
      <c r="I44" s="54">
        <f t="shared" si="0"/>
        <v>10.52735</v>
      </c>
      <c r="J44" s="84">
        <f>L18</f>
        <v>3.3</v>
      </c>
      <c r="K44" s="39">
        <f>N18</f>
        <v>1</v>
      </c>
      <c r="L44" s="45">
        <f t="shared" si="2"/>
        <v>3.509116666666667</v>
      </c>
      <c r="M44" s="46">
        <f>$M$37</f>
        <v>12</v>
      </c>
      <c r="N44" s="45">
        <f>IF(K44&gt;0,(M44/J44)*K44*1.15,0)</f>
        <v>4.181818181818182</v>
      </c>
      <c r="O44" s="45">
        <f t="shared" si="1"/>
        <v>7.690934848484849</v>
      </c>
    </row>
    <row r="45" spans="1:15" ht="14.25">
      <c r="A45" s="26" t="str">
        <f>A19</f>
        <v>  + Bale Fork</v>
      </c>
      <c r="B45" s="26"/>
      <c r="C45" s="123">
        <v>0.01</v>
      </c>
      <c r="D45" s="44">
        <f>D19*C45</f>
        <v>3.25</v>
      </c>
      <c r="E45" s="54">
        <f>IF(D45&gt;0,D45/J19,0)</f>
        <v>0.0325</v>
      </c>
      <c r="F45" s="48">
        <v>0</v>
      </c>
      <c r="G45" s="55">
        <v>0</v>
      </c>
      <c r="H45" s="54">
        <v>0</v>
      </c>
      <c r="I45" s="54">
        <f t="shared" si="0"/>
        <v>0.0325</v>
      </c>
      <c r="J45" s="84">
        <f>L19</f>
        <v>3.3</v>
      </c>
      <c r="K45" s="39">
        <f>N19</f>
        <v>1</v>
      </c>
      <c r="L45" s="45">
        <f t="shared" si="2"/>
        <v>0.010833333333333335</v>
      </c>
      <c r="M45" s="56"/>
      <c r="N45" s="56"/>
      <c r="O45" s="45">
        <f t="shared" si="1"/>
        <v>0.010833333333333335</v>
      </c>
    </row>
    <row r="46" spans="1:15" ht="14.25">
      <c r="A46" s="26" t="str">
        <f>A21</f>
        <v>  Tractor</v>
      </c>
      <c r="B46" s="26">
        <f>B21</f>
        <v>55</v>
      </c>
      <c r="C46" s="123">
        <v>0.02</v>
      </c>
      <c r="D46" s="44">
        <f>D21*C46</f>
        <v>463</v>
      </c>
      <c r="E46" s="54">
        <f>IF(D46&gt;0,D46/J21,0)</f>
        <v>4.63</v>
      </c>
      <c r="F46" s="48">
        <f>B46*0.044</f>
        <v>2.42</v>
      </c>
      <c r="G46" s="55">
        <f>$G$37</f>
        <v>3.45</v>
      </c>
      <c r="H46" s="54">
        <f>(F46*G46)*1.15</f>
        <v>9.60135</v>
      </c>
      <c r="I46" s="54">
        <f t="shared" si="0"/>
        <v>14.231349999999999</v>
      </c>
      <c r="J46" s="84">
        <f>L21</f>
        <v>1</v>
      </c>
      <c r="K46" s="39">
        <f>N21</f>
        <v>0</v>
      </c>
      <c r="L46" s="45">
        <f t="shared" si="2"/>
        <v>0</v>
      </c>
      <c r="M46" s="46">
        <f>$M$37</f>
        <v>12</v>
      </c>
      <c r="N46" s="45">
        <f>IF(K46&gt;0,(M46/J46)*K46*1.15,0)</f>
        <v>0</v>
      </c>
      <c r="O46" s="45">
        <f t="shared" si="1"/>
        <v>0</v>
      </c>
    </row>
    <row r="47" spans="1:15" ht="14.25">
      <c r="A47" s="26" t="str">
        <f>A22</f>
        <v>  + Equipment</v>
      </c>
      <c r="B47" s="26"/>
      <c r="C47" s="123">
        <v>0.01</v>
      </c>
      <c r="D47" s="44">
        <f>D22*C47</f>
        <v>0</v>
      </c>
      <c r="E47" s="54">
        <f>IF(D47&gt;0,D47/J22,0)</f>
        <v>0</v>
      </c>
      <c r="F47" s="48">
        <v>0</v>
      </c>
      <c r="G47" s="55">
        <v>0</v>
      </c>
      <c r="H47" s="54">
        <v>0</v>
      </c>
      <c r="I47" s="54">
        <f t="shared" si="0"/>
        <v>0</v>
      </c>
      <c r="J47" s="84">
        <f>L22</f>
        <v>1</v>
      </c>
      <c r="K47" s="39">
        <f>N22</f>
        <v>0</v>
      </c>
      <c r="L47" s="45">
        <f t="shared" si="2"/>
        <v>0</v>
      </c>
      <c r="M47" s="56"/>
      <c r="N47" s="56"/>
      <c r="O47" s="45">
        <f t="shared" si="1"/>
        <v>0</v>
      </c>
    </row>
    <row r="48" spans="1:15" ht="14.25">
      <c r="A48" s="49" t="str">
        <f>A24</f>
        <v>  Pickup Truck, 3/4 Ton</v>
      </c>
      <c r="B48" s="49"/>
      <c r="C48" s="123">
        <v>0.02</v>
      </c>
      <c r="D48" s="44">
        <f>D24*C48</f>
        <v>604.5</v>
      </c>
      <c r="E48" s="54">
        <f>IF(D48&gt;0,D48/J24,0)</f>
        <v>1.209</v>
      </c>
      <c r="F48" s="124">
        <v>3</v>
      </c>
      <c r="G48" s="55">
        <f>$G$37</f>
        <v>3.45</v>
      </c>
      <c r="H48" s="54">
        <f>(F48*G48)*1.15</f>
        <v>11.9025</v>
      </c>
      <c r="I48" s="54">
        <f t="shared" si="0"/>
        <v>13.1115</v>
      </c>
      <c r="J48" s="84">
        <f>L24</f>
        <v>10</v>
      </c>
      <c r="K48" s="40">
        <f>N24</f>
        <v>4</v>
      </c>
      <c r="L48" s="45">
        <f t="shared" si="2"/>
        <v>5.7690600000000005</v>
      </c>
      <c r="M48" s="46">
        <f>$M$37</f>
        <v>12</v>
      </c>
      <c r="N48" s="45">
        <f>IF(K48&gt;0,(M48/J48)*K48*1.15,0)</f>
        <v>5.52</v>
      </c>
      <c r="O48" s="45">
        <f t="shared" si="1"/>
        <v>11.28906</v>
      </c>
    </row>
    <row r="49" spans="1:15" ht="15">
      <c r="A49" s="86" t="s">
        <v>47</v>
      </c>
      <c r="B49" s="86"/>
      <c r="C49" s="86"/>
      <c r="D49" s="87"/>
      <c r="E49" s="87"/>
      <c r="F49" s="87"/>
      <c r="G49" s="87"/>
      <c r="H49" s="87"/>
      <c r="I49" s="87"/>
      <c r="J49" s="87"/>
      <c r="K49" s="87"/>
      <c r="L49" s="119">
        <f>SUM(L38:L48)</f>
        <v>26.602332292682927</v>
      </c>
      <c r="M49" s="120"/>
      <c r="N49" s="119">
        <f>SUM(N38:N48)</f>
        <v>25.319379157427935</v>
      </c>
      <c r="O49" s="119">
        <f>SUM(O38:O48)</f>
        <v>51.92171145011086</v>
      </c>
    </row>
    <row r="50" spans="1:13" ht="18" customHeight="1">
      <c r="A50" s="52" t="s">
        <v>95</v>
      </c>
      <c r="B50" s="5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6.5">
      <c r="A51" s="52" t="s">
        <v>67</v>
      </c>
      <c r="B51" s="5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6.5">
      <c r="A52" s="52" t="s">
        <v>82</v>
      </c>
      <c r="B52" s="5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6.5">
      <c r="A53" s="52" t="s">
        <v>83</v>
      </c>
      <c r="B53" s="5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7.25" thickBot="1">
      <c r="A54" s="52" t="s">
        <v>126</v>
      </c>
      <c r="B54" s="5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5" ht="15" thickTop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  <c r="O55" s="59"/>
    </row>
    <row r="56" spans="1:13" ht="15">
      <c r="A56" s="60" t="s">
        <v>68</v>
      </c>
      <c r="B56" s="6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25">
      <c r="A57" s="26" t="s">
        <v>107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25">
      <c r="A58" s="26" t="s">
        <v>94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4.25">
      <c r="A59" s="26" t="s">
        <v>93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4.25">
      <c r="A60" s="26" t="s">
        <v>92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4.25">
      <c r="A62" s="31" t="s">
        <v>106</v>
      </c>
      <c r="B62" s="3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">
      <c r="A63" s="26"/>
      <c r="B63" s="26"/>
      <c r="C63" s="26"/>
      <c r="D63" s="137" t="s">
        <v>91</v>
      </c>
      <c r="E63" s="138"/>
      <c r="F63" s="138"/>
      <c r="G63" s="138"/>
      <c r="H63" s="138"/>
      <c r="I63" s="26"/>
      <c r="J63" s="26"/>
      <c r="K63" s="26"/>
      <c r="L63" s="26"/>
      <c r="M63" s="26"/>
    </row>
    <row r="64" spans="1:13" ht="14.25">
      <c r="A64" s="26"/>
      <c r="B64" s="26"/>
      <c r="C64" s="26"/>
      <c r="D64" s="76"/>
      <c r="E64" s="48"/>
      <c r="F64" s="76" t="s">
        <v>69</v>
      </c>
      <c r="G64" s="48"/>
      <c r="H64" s="76"/>
      <c r="I64" s="26"/>
      <c r="J64" s="26"/>
      <c r="K64" s="26"/>
      <c r="L64" s="26"/>
      <c r="M64" s="26"/>
    </row>
    <row r="65" spans="1:13" ht="14.25">
      <c r="A65" s="26"/>
      <c r="B65" s="26"/>
      <c r="C65" s="26"/>
      <c r="D65" s="123">
        <v>-0.1</v>
      </c>
      <c r="E65" s="26"/>
      <c r="F65" s="39" t="s">
        <v>90</v>
      </c>
      <c r="G65" s="26"/>
      <c r="H65" s="127" t="s">
        <v>89</v>
      </c>
      <c r="I65" s="26"/>
      <c r="J65" s="26"/>
      <c r="K65" s="26"/>
      <c r="L65" s="26"/>
      <c r="M65" s="26"/>
    </row>
    <row r="66" spans="2:13" ht="14.25">
      <c r="B66" s="139" t="s">
        <v>70</v>
      </c>
      <c r="C66" s="125">
        <v>-0.1</v>
      </c>
      <c r="D66" s="61">
        <f>('HayLRBBudget84-2'!E21*(1+C66))/('HayLRBBudget84-2'!D25*(1+D65))</f>
        <v>85.11197449356985</v>
      </c>
      <c r="E66" s="62"/>
      <c r="F66" s="72">
        <f>('HayLRBBudget84-2'!E21*(1+C66))/('HayLRBBudget84-2'!D25)</f>
        <v>76.60077704421286</v>
      </c>
      <c r="G66" s="62"/>
      <c r="H66" s="63">
        <f>('HayLRBBudget84-2'!E21*(1+C66))/('HayLRBBudget84-2'!D25*(1+H65))</f>
        <v>69.6370700401935</v>
      </c>
      <c r="I66" s="26"/>
      <c r="J66" s="26"/>
      <c r="K66" s="26"/>
      <c r="L66" s="26"/>
      <c r="M66" s="26"/>
    </row>
    <row r="67" spans="2:13" ht="14.25">
      <c r="B67" s="139"/>
      <c r="C67" s="31"/>
      <c r="D67" s="64"/>
      <c r="E67" s="65"/>
      <c r="F67" s="66"/>
      <c r="G67" s="65"/>
      <c r="H67" s="67"/>
      <c r="I67" s="26"/>
      <c r="J67" s="26"/>
      <c r="K67" s="26"/>
      <c r="L67" s="26"/>
      <c r="M67" s="26"/>
    </row>
    <row r="68" spans="2:13" ht="14.25">
      <c r="B68" s="139"/>
      <c r="C68" s="68" t="s">
        <v>69</v>
      </c>
      <c r="D68" s="64">
        <f>'HayLRBBudget84-2'!E21/('HayLRBBudget84-2'!D25*(1+D65))</f>
        <v>94.56886054841094</v>
      </c>
      <c r="E68" s="65"/>
      <c r="F68" s="83">
        <f>'HayLRBBudget84-2'!E21/('HayLRBBudget84-2'!D25)</f>
        <v>85.11197449356985</v>
      </c>
      <c r="G68" s="65"/>
      <c r="H68" s="74">
        <f>'HayLRBBudget84-2'!E21/('HayLRBBudget84-2'!D25*(1+H65))</f>
        <v>77.37452226688167</v>
      </c>
      <c r="I68" s="26"/>
      <c r="J68" s="26"/>
      <c r="K68" s="26"/>
      <c r="L68" s="26"/>
      <c r="M68" s="26"/>
    </row>
    <row r="69" spans="2:13" ht="14.25">
      <c r="B69" s="139"/>
      <c r="C69" s="31"/>
      <c r="D69" s="64"/>
      <c r="E69" s="65"/>
      <c r="F69" s="66"/>
      <c r="G69" s="65"/>
      <c r="H69" s="67"/>
      <c r="I69" s="26"/>
      <c r="J69" s="26"/>
      <c r="K69" s="26"/>
      <c r="L69" s="26"/>
      <c r="M69" s="26"/>
    </row>
    <row r="70" spans="2:13" ht="14.25">
      <c r="B70" s="139"/>
      <c r="C70" s="126" t="s">
        <v>89</v>
      </c>
      <c r="D70" s="69">
        <f>('HayLRBBudget84-2'!E21*(1+C70))/('HayLRBBudget84-2'!D25*(1+D65))</f>
        <v>104.02574660325205</v>
      </c>
      <c r="E70" s="70"/>
      <c r="F70" s="73">
        <f>('HayLRBBudget84-2'!E21*(1+C70))/('HayLRBBudget84-2'!D25)</f>
        <v>93.62317194292685</v>
      </c>
      <c r="G70" s="70"/>
      <c r="H70" s="75">
        <f>('HayLRBBudget84-2'!E21*(1+C70))/('HayLRBBudget84-2'!D25*(1+H65))</f>
        <v>85.11197449356985</v>
      </c>
      <c r="I70" s="26"/>
      <c r="J70" s="26"/>
      <c r="K70" s="26"/>
      <c r="L70" s="26"/>
      <c r="M70" s="26"/>
    </row>
    <row r="72" spans="1:15" ht="14.2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</row>
  </sheetData>
  <sheetProtection sheet="1" selectLockedCells="1"/>
  <mergeCells count="2">
    <mergeCell ref="D63:H63"/>
    <mergeCell ref="B66:B70"/>
  </mergeCells>
  <printOptions horizontalCentered="1"/>
  <pageMargins left="0.81" right="0.5" top="1" bottom="1" header="0.5" footer="0.5"/>
  <pageSetup horizontalDpi="1200" verticalDpi="1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2013-05-07T13:32:00Z</cp:lastPrinted>
  <dcterms:created xsi:type="dcterms:W3CDTF">2005-07-25T18:21:32Z</dcterms:created>
  <dcterms:modified xsi:type="dcterms:W3CDTF">2013-07-16T12:06:00Z</dcterms:modified>
  <cp:category/>
  <cp:version/>
  <cp:contentType/>
  <cp:contentStatus/>
</cp:coreProperties>
</file>