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10" windowWidth="15330" windowHeight="7335" activeTab="0"/>
  </bookViews>
  <sheets>
    <sheet name="Clover-GrassEtablishBudget87-1" sheetId="1" r:id="rId1"/>
    <sheet name="Clover-GrassEstabFixedCosts87-1" sheetId="2" r:id="rId2"/>
    <sheet name="Clover-GrassAnnualBudget87-2" sheetId="3" r:id="rId3"/>
    <sheet name="Clover-GrassAnnualFixCost87-2" sheetId="4" r:id="rId4"/>
  </sheets>
  <definedNames>
    <definedName name="_xlnm.Print_Area" localSheetId="3">'Clover-GrassAnnualFixCost87-2'!$A$1:$O$58</definedName>
    <definedName name="_xlnm.Print_Area" localSheetId="1">'Clover-GrassEstabFixedCosts87-1'!$A$1:$O$72</definedName>
    <definedName name="_xlnm.Print_Area" localSheetId="0">'Clover-GrassEtablishBudget87-1'!$A$1:$F$46</definedName>
  </definedNames>
  <calcPr fullCalcOnLoad="1"/>
</workbook>
</file>

<file path=xl/sharedStrings.xml><?xml version="1.0" encoding="utf-8"?>
<sst xmlns="http://schemas.openxmlformats.org/spreadsheetml/2006/main" count="361" uniqueCount="167">
  <si>
    <t>Description</t>
  </si>
  <si>
    <t>Unit</t>
  </si>
  <si>
    <t>Price</t>
  </si>
  <si>
    <t>Quantity</t>
  </si>
  <si>
    <t>Value</t>
  </si>
  <si>
    <t xml:space="preserve">   Operating inputs</t>
  </si>
  <si>
    <t>Ton</t>
  </si>
  <si>
    <t>lb.</t>
  </si>
  <si>
    <t xml:space="preserve">      -Burndown Herbicide</t>
  </si>
  <si>
    <t>Acre</t>
  </si>
  <si>
    <t xml:space="preserve">      -Fert. Spread, custom</t>
  </si>
  <si>
    <t>Cwt.</t>
  </si>
  <si>
    <t xml:space="preserve">      -Other:</t>
  </si>
  <si>
    <t>Hours</t>
  </si>
  <si>
    <t>Total Operating Costs</t>
  </si>
  <si>
    <t>Amount</t>
  </si>
  <si>
    <r>
      <t xml:space="preserve">   </t>
    </r>
    <r>
      <rPr>
        <b/>
        <sz val="10"/>
        <rFont val="Arial"/>
        <family val="2"/>
      </rPr>
      <t>Fixed Costs</t>
    </r>
  </si>
  <si>
    <t>Total Cost</t>
  </si>
  <si>
    <r>
      <t xml:space="preserve">      </t>
    </r>
    <r>
      <rPr>
        <b/>
        <sz val="10"/>
        <rFont val="Arial"/>
        <family val="2"/>
      </rPr>
      <t>Production</t>
    </r>
  </si>
  <si>
    <t xml:space="preserve">         -Harvested as Pasture, Dry Matter</t>
  </si>
  <si>
    <t>Total Receipts</t>
  </si>
  <si>
    <t>RETURNS ABOVE TOTAL OPERATING COST</t>
  </si>
  <si>
    <t>Budget prepared by:</t>
  </si>
  <si>
    <t>NOTES</t>
  </si>
  <si>
    <t>One half ton of pasture dry matter typically provides 43 animal unit days of grazing.  A beef cow = 1 AU.</t>
  </si>
  <si>
    <t xml:space="preserve">      -Other Labor</t>
  </si>
  <si>
    <t>$</t>
  </si>
  <si>
    <t>Pasture typically is 65% digestible and provides 1300 pounds of TDN per ton of dry matter.</t>
  </si>
  <si>
    <t xml:space="preserve">Table 1.  Initial investment in specialized equipment and annual ownership expenses </t>
  </si>
  <si>
    <t>Operation and Item</t>
  </si>
  <si>
    <t>Life</t>
  </si>
  <si>
    <t>Initial</t>
  </si>
  <si>
    <t xml:space="preserve">Salvage </t>
  </si>
  <si>
    <t>Deprec-</t>
  </si>
  <si>
    <r>
      <t>Interest</t>
    </r>
    <r>
      <rPr>
        <b/>
        <vertAlign val="superscript"/>
        <sz val="11"/>
        <rFont val="Arial"/>
        <family val="2"/>
      </rPr>
      <t>b</t>
    </r>
  </si>
  <si>
    <t>Tax &amp;</t>
  </si>
  <si>
    <t>Annual</t>
  </si>
  <si>
    <t>D.I.T.I.</t>
  </si>
  <si>
    <t>Acres</t>
  </si>
  <si>
    <t>Expense</t>
  </si>
  <si>
    <t>Times</t>
  </si>
  <si>
    <t>Total</t>
  </si>
  <si>
    <t>Cost</t>
  </si>
  <si>
    <r>
      <t>iation</t>
    </r>
    <r>
      <rPr>
        <b/>
        <vertAlign val="superscript"/>
        <sz val="11"/>
        <rFont val="Arial"/>
        <family val="2"/>
      </rPr>
      <t>a</t>
    </r>
  </si>
  <si>
    <r>
      <t>Ins.</t>
    </r>
    <r>
      <rPr>
        <b/>
        <vertAlign val="superscript"/>
        <sz val="11"/>
        <rFont val="Arial"/>
        <family val="2"/>
      </rPr>
      <t>c</t>
    </r>
  </si>
  <si>
    <t>Use</t>
  </si>
  <si>
    <t>per Hour</t>
  </si>
  <si>
    <r>
      <t>per Acre</t>
    </r>
    <r>
      <rPr>
        <b/>
        <vertAlign val="superscript"/>
        <sz val="11"/>
        <rFont val="Arial"/>
        <family val="2"/>
      </rPr>
      <t>d</t>
    </r>
  </si>
  <si>
    <r>
      <t>Over</t>
    </r>
    <r>
      <rPr>
        <b/>
        <vertAlign val="superscript"/>
        <sz val="11"/>
        <rFont val="Arial"/>
        <family val="2"/>
      </rPr>
      <t>e</t>
    </r>
  </si>
  <si>
    <t>Years</t>
  </si>
  <si>
    <t>No.</t>
  </si>
  <si>
    <t>$/Acre</t>
  </si>
  <si>
    <t>Spraying</t>
  </si>
  <si>
    <t>Planting</t>
  </si>
  <si>
    <t>TOTALS</t>
  </si>
  <si>
    <r>
      <t>a</t>
    </r>
    <r>
      <rPr>
        <sz val="11"/>
        <rFont val="Arial"/>
        <family val="2"/>
      </rPr>
      <t xml:space="preserve"> Depreciation = (Initial cost - Salvage value) / years of life</t>
    </r>
  </si>
  <si>
    <r>
      <t xml:space="preserve">b </t>
    </r>
    <r>
      <rPr>
        <sz val="11"/>
        <rFont val="Arial"/>
        <family val="2"/>
      </rPr>
      <t>Interest on investment = ((Initial cost + Salvage value) / 2) X interest rate</t>
    </r>
  </si>
  <si>
    <r>
      <t xml:space="preserve">c </t>
    </r>
    <r>
      <rPr>
        <sz val="11"/>
        <rFont val="Arial"/>
        <family val="2"/>
      </rPr>
      <t xml:space="preserve">Combined rate of property taxes and insurance premiums as a percentage of the average investment </t>
    </r>
  </si>
  <si>
    <r>
      <t xml:space="preserve">d </t>
    </r>
    <r>
      <rPr>
        <sz val="11"/>
        <rFont val="Arial"/>
        <family val="2"/>
      </rPr>
      <t>Per acre costs for self-propelled vehicles include an additional 10% allowance for travel time from farm to field</t>
    </r>
  </si>
  <si>
    <r>
      <t xml:space="preserve">e </t>
    </r>
    <r>
      <rPr>
        <sz val="11"/>
        <rFont val="Arial"/>
        <family val="2"/>
      </rPr>
      <t>Total number of trips across the field per year for this operation</t>
    </r>
  </si>
  <si>
    <t xml:space="preserve">Table 2. Operating expense for forage machinery and equipment per hour and per acre </t>
  </si>
  <si>
    <t>Repairs</t>
  </si>
  <si>
    <t>Fuel</t>
  </si>
  <si>
    <t xml:space="preserve">Equip. </t>
  </si>
  <si>
    <t>Labor</t>
  </si>
  <si>
    <r>
      <t>&amp; Maint.</t>
    </r>
    <r>
      <rPr>
        <b/>
        <vertAlign val="superscript"/>
        <sz val="11"/>
        <rFont val="Arial"/>
        <family val="2"/>
      </rPr>
      <t>a</t>
    </r>
  </si>
  <si>
    <t>&amp; Maint.</t>
  </si>
  <si>
    <r>
      <t>&amp; Maint.</t>
    </r>
    <r>
      <rPr>
        <b/>
        <vertAlign val="superscript"/>
        <sz val="11"/>
        <rFont val="Arial"/>
        <family val="2"/>
      </rPr>
      <t>b</t>
    </r>
  </si>
  <si>
    <t>per Gal</t>
  </si>
  <si>
    <t>Over</t>
  </si>
  <si>
    <t>%</t>
  </si>
  <si>
    <t>$/Year</t>
  </si>
  <si>
    <t>$/Hour</t>
  </si>
  <si>
    <t>Gals/hr</t>
  </si>
  <si>
    <r>
      <t xml:space="preserve">b </t>
    </r>
    <r>
      <rPr>
        <sz val="11"/>
        <rFont val="Arial"/>
        <family val="2"/>
      </rPr>
      <t>Repairs and maintenance costs per hour based on annual use shown in Table 1.</t>
    </r>
  </si>
  <si>
    <t>Table 3.  Sensitivity Analysis</t>
  </si>
  <si>
    <t>Base</t>
  </si>
  <si>
    <t>COST</t>
  </si>
  <si>
    <t>+ 10%</t>
  </si>
  <si>
    <t>STAND LIFE OR PLANNING HORIZON</t>
  </si>
  <si>
    <t xml:space="preserve">This table shows the annual charge to recover establishment cost under various assumptions about costs and stand life or planning horizon.  Specifically, </t>
  </si>
  <si>
    <t>the cost shown in the enterprise budget on the first page are believed  to be fairly representative of conditions in North Carolina.  However, there</t>
  </si>
  <si>
    <t xml:space="preserve"> is a wide variation in conditions from one farm to another and costs  can vary from year to year.  The table shows the effects of costs that are</t>
  </si>
  <si>
    <t xml:space="preserve">10% higher or lower than the basic budget, singly and in combination with variations in stand life or planning horizon.  Stand life is affected </t>
  </si>
  <si>
    <t>by many factors including persistance and farming plans may call for a stand to be replaced by another crop for reasons other than stand persistance.</t>
  </si>
  <si>
    <t>The annual prorated costs shown in the table do not include an interest charge on this investment.</t>
  </si>
  <si>
    <t xml:space="preserve">      -Machinery Labor (From Table 2)</t>
  </si>
  <si>
    <t xml:space="preserve">     -Machinery Depr, Taxes, Insurance,</t>
  </si>
  <si>
    <t xml:space="preserve">            &amp; Interest (From Table 1)</t>
  </si>
  <si>
    <t xml:space="preserve">      -Machinery Fuel, Maint, Repairs (Table 2)</t>
  </si>
  <si>
    <t>Other</t>
  </si>
  <si>
    <t>Rate Charged, percent ====&gt;</t>
  </si>
  <si>
    <t>Fuel cost per gallon &amp; Labor cost per hour ====&gt;</t>
  </si>
  <si>
    <t xml:space="preserve">  Pickup Truck, 3/4 Ton</t>
  </si>
  <si>
    <t xml:space="preserve">  + Sprayer</t>
  </si>
  <si>
    <r>
      <t xml:space="preserve">a </t>
    </r>
    <r>
      <rPr>
        <sz val="11"/>
        <rFont val="Arial"/>
        <family val="2"/>
      </rPr>
      <t xml:space="preserve">Repairs and maintenance costs are calculated as a % of the initial cost in Table 1.  Percentages are higher for equipment that is bought used. </t>
    </r>
  </si>
  <si>
    <t>Fuel &amp;</t>
  </si>
  <si>
    <r>
      <t>Lube</t>
    </r>
    <r>
      <rPr>
        <b/>
        <vertAlign val="superscript"/>
        <sz val="11"/>
        <rFont val="Arial"/>
        <family val="2"/>
      </rPr>
      <t>c</t>
    </r>
  </si>
  <si>
    <r>
      <t xml:space="preserve">c </t>
    </r>
    <r>
      <rPr>
        <sz val="11"/>
        <rFont val="Arial"/>
        <family val="2"/>
      </rPr>
      <t>Total fuel cost plus lube costs estimated as 15% of the fuel cost.</t>
    </r>
  </si>
  <si>
    <r>
      <t xml:space="preserve">d </t>
    </r>
    <r>
      <rPr>
        <sz val="11"/>
        <rFont val="Arial"/>
        <family val="2"/>
      </rPr>
      <t>Per acre costs for tractors and other self-propelled equipment includes an additional 10% allowance for travel time from farm to field.</t>
    </r>
  </si>
  <si>
    <r>
      <t xml:space="preserve">e </t>
    </r>
    <r>
      <rPr>
        <sz val="11"/>
        <rFont val="Arial"/>
        <family val="2"/>
      </rPr>
      <t>Labor cost per acre includes an additional 15% allowance for travel time, setting up and finishing up.</t>
    </r>
  </si>
  <si>
    <r>
      <t>Op. Cost</t>
    </r>
    <r>
      <rPr>
        <b/>
        <vertAlign val="superscript"/>
        <sz val="11"/>
        <rFont val="Arial"/>
        <family val="2"/>
      </rPr>
      <t>d</t>
    </r>
  </si>
  <si>
    <r>
      <t>Cost</t>
    </r>
    <r>
      <rPr>
        <b/>
        <vertAlign val="superscript"/>
        <sz val="11"/>
        <rFont val="Arial"/>
        <family val="2"/>
      </rPr>
      <t>e</t>
    </r>
  </si>
  <si>
    <t xml:space="preserve">  Tractor, HP=</t>
  </si>
  <si>
    <t>Each ton of pasture dry matter typically provides 86 animal unit days of grazing.  A beef cow = 1 AU.</t>
  </si>
  <si>
    <t>Total Fixed Costs</t>
  </si>
  <si>
    <t xml:space="preserve">            Interest (From Table 1)</t>
  </si>
  <si>
    <t xml:space="preserve">     -Pasture Establishment Depreciation and </t>
  </si>
  <si>
    <t xml:space="preserve">            and Interest (From Table 1)</t>
  </si>
  <si>
    <t xml:space="preserve">     -Machinery Depreciation, Taxes, Insurance,</t>
  </si>
  <si>
    <t>+10%</t>
  </si>
  <si>
    <t>Budget</t>
  </si>
  <si>
    <t xml:space="preserve">YIELD </t>
  </si>
  <si>
    <t>The table shows the effects of yields and costs that are 10 percent higher or lower than the basic budget, singly and in combination.</t>
  </si>
  <si>
    <t xml:space="preserve">in North Carolina.   However, there is a wide variation in conditions from one farm to another and costs and yields can vary from year to year. </t>
  </si>
  <si>
    <t>Specifically, the cost and yields shown in the enterprise budget on the first page are believed  to be fairly representative of conditions</t>
  </si>
  <si>
    <t>This table shows the total cost per ton of dry matter produced under various assumptions about costs and yields.</t>
  </si>
  <si>
    <r>
      <t xml:space="preserve">a </t>
    </r>
    <r>
      <rPr>
        <sz val="11"/>
        <rFont val="Arial"/>
        <family val="2"/>
      </rPr>
      <t xml:space="preserve">Repairs and maintenance costs are calculated as a % of the initial cost in Table 1.  Percentages are higher for equipment bought used. </t>
    </r>
  </si>
  <si>
    <r>
      <t xml:space="preserve">f </t>
    </r>
    <r>
      <rPr>
        <sz val="11"/>
        <rFont val="Arial"/>
        <family val="2"/>
      </rPr>
      <t>Establishment cost per acre from Budget 87-7, net of any revenue.  Land cost or charges are not included.</t>
    </r>
  </si>
  <si>
    <r>
      <t>Pasture Establishment</t>
    </r>
    <r>
      <rPr>
        <vertAlign val="superscript"/>
        <sz val="11"/>
        <rFont val="Arial"/>
        <family val="2"/>
      </rPr>
      <t>f</t>
    </r>
  </si>
  <si>
    <t xml:space="preserve">  + Bushhog</t>
  </si>
  <si>
    <t xml:space="preserve">  Tractor</t>
  </si>
  <si>
    <t>Pasture Clipping</t>
  </si>
  <si>
    <r>
      <t xml:space="preserve">a </t>
    </r>
    <r>
      <rPr>
        <sz val="10"/>
        <rFont val="Arial"/>
        <family val="2"/>
      </rPr>
      <t>Interest on operating expenses for an average of 5 months.</t>
    </r>
  </si>
  <si>
    <r>
      <t>Price</t>
    </r>
    <r>
      <rPr>
        <b/>
        <vertAlign val="superscript"/>
        <sz val="10"/>
        <rFont val="Arial"/>
        <family val="2"/>
      </rPr>
      <t>b</t>
    </r>
  </si>
  <si>
    <t>AVERAGE TOTAL COST PER TON OF DRY MATTER PRODUCED</t>
  </si>
  <si>
    <r>
      <t>RETURNS ABOVE ALL SPECIFIED COSTS</t>
    </r>
    <r>
      <rPr>
        <b/>
        <vertAlign val="superscript"/>
        <sz val="10"/>
        <rFont val="Arial"/>
        <family val="2"/>
      </rPr>
      <t>C</t>
    </r>
  </si>
  <si>
    <r>
      <t>AVERAGE COST PER TON OF DRY MATTER</t>
    </r>
    <r>
      <rPr>
        <b/>
        <vertAlign val="superscript"/>
        <sz val="10"/>
        <rFont val="Arial"/>
        <family val="2"/>
      </rPr>
      <t>d</t>
    </r>
  </si>
  <si>
    <t xml:space="preserve">operating cost, fixed cost and net returns per acre.        </t>
  </si>
  <si>
    <t xml:space="preserve">      -Grass Seed</t>
  </si>
  <si>
    <t xml:space="preserve">      -Clover Seed</t>
  </si>
  <si>
    <r>
      <t xml:space="preserve">      -Annual Operating Capital</t>
    </r>
    <r>
      <rPr>
        <vertAlign val="superscript"/>
        <sz val="10"/>
        <rFont val="Arial"/>
        <family val="2"/>
      </rPr>
      <t>a</t>
    </r>
  </si>
  <si>
    <r>
      <t xml:space="preserve">a </t>
    </r>
    <r>
      <rPr>
        <sz val="10"/>
        <rFont val="Arial"/>
        <family val="2"/>
      </rPr>
      <t>Interest on operating expenses for an average of 3 months.</t>
    </r>
  </si>
  <si>
    <r>
      <t xml:space="preserve">b </t>
    </r>
    <r>
      <rPr>
        <sz val="10"/>
        <rFont val="Arial"/>
        <family val="2"/>
      </rPr>
      <t>Only place a value on pasture if it is rented out.</t>
    </r>
  </si>
  <si>
    <r>
      <t xml:space="preserve">c </t>
    </r>
    <r>
      <rPr>
        <sz val="10"/>
        <rFont val="Arial"/>
        <family val="2"/>
      </rPr>
      <t xml:space="preserve">This is the owners cost of grazing per acre = Total annual cost LESS the value of any pasture rented out. </t>
    </r>
  </si>
  <si>
    <t>Pasture typically is 20 to 25% dry matter, 65% digestible and provides 1300 pounds of TDN per ton of dry matter.</t>
  </si>
  <si>
    <r>
      <t>Overseed Clover</t>
    </r>
    <r>
      <rPr>
        <vertAlign val="superscript"/>
        <sz val="11"/>
        <rFont val="Arial"/>
        <family val="2"/>
      </rPr>
      <t>f</t>
    </r>
  </si>
  <si>
    <t>Budget 87-1</t>
  </si>
  <si>
    <r>
      <t xml:space="preserve">c </t>
    </r>
    <r>
      <rPr>
        <sz val="10"/>
        <rFont val="Arial"/>
        <family val="2"/>
      </rPr>
      <t xml:space="preserve">This is the net cost per acre in the establishment year, calculated as the Total Establishment Cost </t>
    </r>
  </si>
  <si>
    <r>
      <t>RETURNS ABOVE ALL SPECIFIED COSTS</t>
    </r>
    <r>
      <rPr>
        <b/>
        <vertAlign val="superscript"/>
        <sz val="10"/>
        <rFont val="Arial"/>
        <family val="2"/>
      </rPr>
      <t>c</t>
    </r>
  </si>
  <si>
    <r>
      <t xml:space="preserve">b </t>
    </r>
    <r>
      <rPr>
        <sz val="10"/>
        <rFont val="Arial"/>
        <family val="2"/>
      </rPr>
      <t>Estimated value of pasture or the actual rent received if rented out</t>
    </r>
  </si>
  <si>
    <t>Budget does not include the cost of managing grazing animals.</t>
  </si>
  <si>
    <t>Budget 87-2</t>
  </si>
  <si>
    <t xml:space="preserve">      -Clover seed inoculant</t>
  </si>
  <si>
    <t xml:space="preserve">      -5-20-20, dry bulk</t>
  </si>
  <si>
    <t>Land preparation</t>
  </si>
  <si>
    <t xml:space="preserve">  + Chisel plow</t>
  </si>
  <si>
    <t xml:space="preserve">  + Disc</t>
  </si>
  <si>
    <t xml:space="preserve">  + Harrow</t>
  </si>
  <si>
    <t>Budget does not include the cost of managing grazing animals on pasture.</t>
  </si>
  <si>
    <t xml:space="preserve">      -Lime, applied</t>
  </si>
  <si>
    <r>
      <t>Ladino Clover-Cool Season Grass Pasture</t>
    </r>
    <r>
      <rPr>
        <sz val="12"/>
        <rFont val="Arial"/>
        <family val="2"/>
      </rPr>
      <t>:  Estimated revenue, operating</t>
    </r>
  </si>
  <si>
    <r>
      <t>Ladino Clover-Cool Season Grass for pasture:</t>
    </r>
    <r>
      <rPr>
        <sz val="12"/>
        <rFont val="Arial"/>
        <family val="2"/>
      </rPr>
      <t xml:space="preserve"> Estimated annual revenue,</t>
    </r>
  </si>
  <si>
    <t xml:space="preserve">   LESS the value of the pasture produced during the establishment year, if any. </t>
  </si>
  <si>
    <t xml:space="preserve">      -Lime, applied, prorated share</t>
  </si>
  <si>
    <t xml:space="preserve">cost, fixed cost, and net returns per acre in the establishment year (No-till).      </t>
  </si>
  <si>
    <t>TOTAL</t>
  </si>
  <si>
    <t xml:space="preserve">  + Other Equipment</t>
  </si>
  <si>
    <t>Comments</t>
  </si>
  <si>
    <t xml:space="preserve">J.T. Green, Jr., Crop Science Extension Specialist, NCSU (Retired).  </t>
  </si>
  <si>
    <t xml:space="preserve">  + No-till Drill</t>
  </si>
  <si>
    <t>J.T. Green, Jr., Crop Science Extension Specialist, NCSU (Retired).</t>
  </si>
  <si>
    <t xml:space="preserve">      -0-18-36, dry bulk</t>
  </si>
  <si>
    <r>
      <t xml:space="preserve">f </t>
    </r>
    <r>
      <rPr>
        <sz val="11"/>
        <rFont val="Arial"/>
        <family val="2"/>
      </rPr>
      <t>Stand is overseeded with clover every 2 or 3 years, broadcast with the fertilizer application in the spring.</t>
    </r>
  </si>
  <si>
    <r>
      <t xml:space="preserve">d </t>
    </r>
    <r>
      <rPr>
        <sz val="10"/>
        <rFont val="Arial"/>
        <family val="2"/>
      </rPr>
      <t>Total cost divided by total dry matter produced.  If any hay is produced, add the haymaking cost to the crop cost.</t>
    </r>
  </si>
  <si>
    <t>G.A. Benson, Extension Economist, NCSU (Retired).</t>
  </si>
  <si>
    <t>AVERAGE ANNUAL ESTABLISHMENT COST PER ACRE OVER THE LIFE OF THE STAND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</si>
</sst>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  <numFmt numFmtId="166" formatCode="0.000"/>
    <numFmt numFmtId="167" formatCode="&quot;$&quot;#,##0.000_);\(&quot;$&quot;#,##0.000\)"/>
    <numFmt numFmtId="168" formatCode="0.0%"/>
    <numFmt numFmtId="169" formatCode="&quot;$&quot;#,##0"/>
    <numFmt numFmtId="170" formatCode="[$-409]dddd\,\ mmmm\ dd\,\ yyyy"/>
    <numFmt numFmtId="171" formatCode="0.0"/>
    <numFmt numFmtId="172" formatCode="[$-409]mmm\-yy;@"/>
  </numFmts>
  <fonts count="47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8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>
      <alignment/>
    </xf>
    <xf numFmtId="7" fontId="2" fillId="0" borderId="10" xfId="0" applyNumberFormat="1" applyFont="1" applyBorder="1" applyAlignment="1">
      <alignment/>
    </xf>
    <xf numFmtId="7" fontId="2" fillId="0" borderId="1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10" xfId="0" applyBorder="1" applyAlignment="1">
      <alignment/>
    </xf>
    <xf numFmtId="0" fontId="2" fillId="33" borderId="12" xfId="0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right"/>
    </xf>
    <xf numFmtId="17" fontId="0" fillId="0" borderId="0" xfId="0" applyNumberFormat="1" applyFont="1" applyAlignment="1">
      <alignment horizontal="left"/>
    </xf>
    <xf numFmtId="0" fontId="6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 quotePrefix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 quotePrefix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Fill="1" applyAlignment="1" quotePrefix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Fill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13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165" fontId="0" fillId="0" borderId="16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19" xfId="0" applyNumberFormat="1" applyFont="1" applyBorder="1" applyAlignment="1">
      <alignment/>
    </xf>
    <xf numFmtId="169" fontId="0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165" fontId="0" fillId="0" borderId="13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20" xfId="0" applyNumberFormat="1" applyFont="1" applyBorder="1" applyAlignment="1">
      <alignment/>
    </xf>
    <xf numFmtId="164" fontId="0" fillId="0" borderId="0" xfId="0" applyNumberFormat="1" applyFont="1" applyAlignment="1">
      <alignment horizontal="right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0" fontId="0" fillId="33" borderId="0" xfId="0" applyFont="1" applyFill="1" applyAlignment="1" quotePrefix="1">
      <alignment horizontal="center"/>
    </xf>
    <xf numFmtId="0" fontId="0" fillId="33" borderId="0" xfId="0" applyFont="1" applyFill="1" applyAlignment="1">
      <alignment horizontal="center"/>
    </xf>
    <xf numFmtId="1" fontId="0" fillId="33" borderId="0" xfId="0" applyNumberFormat="1" applyFont="1" applyFill="1" applyAlignment="1">
      <alignment horizontal="center"/>
    </xf>
    <xf numFmtId="3" fontId="0" fillId="33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Alignment="1" quotePrefix="1">
      <alignment/>
    </xf>
    <xf numFmtId="0" fontId="6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21" xfId="0" applyFont="1" applyBorder="1" applyAlignment="1">
      <alignment/>
    </xf>
    <xf numFmtId="3" fontId="0" fillId="0" borderId="21" xfId="0" applyNumberFormat="1" applyFont="1" applyBorder="1" applyAlignment="1">
      <alignment/>
    </xf>
    <xf numFmtId="7" fontId="2" fillId="0" borderId="10" xfId="0" applyNumberFormat="1" applyFont="1" applyBorder="1" applyAlignment="1">
      <alignment horizontal="center"/>
    </xf>
    <xf numFmtId="165" fontId="6" fillId="0" borderId="21" xfId="0" applyNumberFormat="1" applyFont="1" applyBorder="1" applyAlignment="1">
      <alignment/>
    </xf>
    <xf numFmtId="165" fontId="0" fillId="0" borderId="21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3" fontId="0" fillId="33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 horizontal="center"/>
    </xf>
    <xf numFmtId="8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2" fillId="33" borderId="17" xfId="0" applyFont="1" applyFill="1" applyBorder="1" applyAlignment="1">
      <alignment/>
    </xf>
    <xf numFmtId="0" fontId="1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/>
    </xf>
    <xf numFmtId="171" fontId="0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165" fontId="2" fillId="0" borderId="10" xfId="0" applyNumberFormat="1" applyFont="1" applyBorder="1" applyAlignment="1">
      <alignment/>
    </xf>
    <xf numFmtId="165" fontId="1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0" fontId="0" fillId="34" borderId="0" xfId="0" applyNumberFormat="1" applyFont="1" applyFill="1" applyAlignment="1" applyProtection="1">
      <alignment horizontal="right"/>
      <protection locked="0"/>
    </xf>
    <xf numFmtId="0" fontId="0" fillId="34" borderId="0" xfId="0" applyFont="1" applyFill="1" applyAlignment="1" applyProtection="1" quotePrefix="1">
      <alignment/>
      <protection locked="0"/>
    </xf>
    <xf numFmtId="0" fontId="0" fillId="34" borderId="0" xfId="0" applyFont="1" applyFill="1" applyAlignment="1" applyProtection="1">
      <alignment horizontal="center"/>
      <protection locked="0"/>
    </xf>
    <xf numFmtId="3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 quotePrefix="1">
      <alignment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 quotePrefix="1">
      <alignment horizontal="center"/>
      <protection locked="0"/>
    </xf>
    <xf numFmtId="0" fontId="0" fillId="34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 quotePrefix="1">
      <alignment horizontal="center"/>
      <protection/>
    </xf>
    <xf numFmtId="0" fontId="0" fillId="34" borderId="14" xfId="0" applyFont="1" applyFill="1" applyBorder="1" applyAlignment="1" applyProtection="1" quotePrefix="1">
      <alignment/>
      <protection locked="0"/>
    </xf>
    <xf numFmtId="0" fontId="0" fillId="34" borderId="14" xfId="0" applyFont="1" applyFill="1" applyBorder="1" applyAlignment="1" applyProtection="1">
      <alignment/>
      <protection locked="0"/>
    </xf>
    <xf numFmtId="0" fontId="0" fillId="34" borderId="14" xfId="0" applyFont="1" applyFill="1" applyBorder="1" applyAlignment="1" applyProtection="1">
      <alignment horizontal="center"/>
      <protection locked="0"/>
    </xf>
    <xf numFmtId="3" fontId="0" fillId="34" borderId="14" xfId="0" applyNumberFormat="1" applyFont="1" applyFill="1" applyBorder="1" applyAlignment="1" applyProtection="1">
      <alignment/>
      <protection locked="0"/>
    </xf>
    <xf numFmtId="4" fontId="0" fillId="34" borderId="0" xfId="0" applyNumberFormat="1" applyFont="1" applyFill="1" applyAlignment="1" applyProtection="1">
      <alignment/>
      <protection locked="0"/>
    </xf>
    <xf numFmtId="2" fontId="0" fillId="34" borderId="0" xfId="0" applyNumberFormat="1" applyFont="1" applyFill="1" applyAlignment="1" applyProtection="1">
      <alignment/>
      <protection locked="0"/>
    </xf>
    <xf numFmtId="9" fontId="0" fillId="34" borderId="0" xfId="0" applyNumberFormat="1" applyFont="1" applyFill="1" applyAlignment="1" applyProtection="1">
      <alignment horizontal="center"/>
      <protection locked="0"/>
    </xf>
    <xf numFmtId="9" fontId="0" fillId="34" borderId="0" xfId="0" applyNumberFormat="1" applyFont="1" applyFill="1" applyBorder="1" applyAlignment="1" applyProtection="1">
      <alignment horizontal="right"/>
      <protection locked="0"/>
    </xf>
    <xf numFmtId="9" fontId="0" fillId="34" borderId="0" xfId="0" applyNumberFormat="1" applyFont="1" applyFill="1" applyBorder="1" applyAlignment="1" applyProtection="1" quotePrefix="1">
      <alignment horizontal="right"/>
      <protection locked="0"/>
    </xf>
    <xf numFmtId="0" fontId="2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7" fontId="2" fillId="34" borderId="10" xfId="0" applyNumberFormat="1" applyFont="1" applyFill="1" applyBorder="1" applyAlignment="1" applyProtection="1">
      <alignment horizontal="center"/>
      <protection locked="0"/>
    </xf>
    <xf numFmtId="2" fontId="2" fillId="34" borderId="10" xfId="0" applyNumberFormat="1" applyFont="1" applyFill="1" applyBorder="1" applyAlignment="1" applyProtection="1">
      <alignment horizontal="center"/>
      <protection locked="0"/>
    </xf>
    <xf numFmtId="168" fontId="2" fillId="34" borderId="10" xfId="0" applyNumberFormat="1" applyFont="1" applyFill="1" applyBorder="1" applyAlignment="1" applyProtection="1">
      <alignment horizontal="center"/>
      <protection locked="0"/>
    </xf>
    <xf numFmtId="8" fontId="2" fillId="34" borderId="10" xfId="0" applyNumberFormat="1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 quotePrefix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3" fontId="0" fillId="34" borderId="0" xfId="0" applyNumberFormat="1" applyFont="1" applyFill="1" applyBorder="1" applyAlignment="1" applyProtection="1">
      <alignment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2" fontId="0" fillId="34" borderId="0" xfId="0" applyNumberFormat="1" applyFont="1" applyFill="1" applyAlignment="1" applyProtection="1">
      <alignment horizontal="center"/>
      <protection locked="0"/>
    </xf>
    <xf numFmtId="9" fontId="0" fillId="34" borderId="0" xfId="0" applyNumberFormat="1" applyFont="1" applyFill="1" applyAlignment="1" applyProtection="1" quotePrefix="1">
      <alignment horizontal="center"/>
      <protection locked="0"/>
    </xf>
    <xf numFmtId="3" fontId="0" fillId="35" borderId="0" xfId="0" applyNumberFormat="1" applyFont="1" applyFill="1" applyBorder="1" applyAlignment="1" applyProtection="1">
      <alignment/>
      <protection locked="0"/>
    </xf>
    <xf numFmtId="3" fontId="0" fillId="35" borderId="0" xfId="0" applyNumberFormat="1" applyFont="1" applyFill="1" applyAlignment="1" applyProtection="1">
      <alignment/>
      <protection locked="0"/>
    </xf>
    <xf numFmtId="3" fontId="0" fillId="35" borderId="14" xfId="0" applyNumberFormat="1" applyFont="1" applyFill="1" applyBorder="1" applyAlignment="1" applyProtection="1">
      <alignment/>
      <protection locked="0"/>
    </xf>
    <xf numFmtId="0" fontId="10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4" fontId="0" fillId="34" borderId="14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24" xfId="0" applyBorder="1" applyAlignment="1">
      <alignment/>
    </xf>
    <xf numFmtId="0" fontId="6" fillId="0" borderId="24" xfId="0" applyFont="1" applyBorder="1" applyAlignment="1">
      <alignment/>
    </xf>
    <xf numFmtId="0" fontId="12" fillId="0" borderId="24" xfId="0" applyFont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 horizontal="right"/>
    </xf>
    <xf numFmtId="14" fontId="10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 vertical="center" textRotation="90"/>
    </xf>
    <xf numFmtId="3" fontId="0" fillId="36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9525</xdr:rowOff>
    </xdr:to>
    <xdr:pic>
      <xdr:nvPicPr>
        <xdr:cNvPr id="1" name="Picture 1" descr="NCSU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05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38100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809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80" zoomScaleNormal="80" zoomScalePageLayoutView="0" workbookViewId="0" topLeftCell="A1">
      <selection activeCell="A6" sqref="A6"/>
    </sheetView>
  </sheetViews>
  <sheetFormatPr defaultColWidth="9.00390625" defaultRowHeight="14.25"/>
  <cols>
    <col min="1" max="1" width="35.50390625" style="0" customWidth="1"/>
    <col min="2" max="2" width="8.125" style="0" customWidth="1"/>
    <col min="3" max="3" width="9.25390625" style="0" customWidth="1"/>
    <col min="4" max="4" width="9.75390625" style="0" customWidth="1"/>
    <col min="5" max="5" width="9.875" style="0" customWidth="1"/>
    <col min="6" max="6" width="13.25390625" style="0" customWidth="1"/>
  </cols>
  <sheetData>
    <row r="1" spans="1:6" ht="22.5" customHeight="1">
      <c r="A1" s="166"/>
      <c r="B1" s="166"/>
      <c r="C1" s="167"/>
      <c r="D1" s="168"/>
      <c r="E1" s="166"/>
      <c r="F1" s="166"/>
    </row>
    <row r="2" spans="1:6" ht="21.75" customHeight="1">
      <c r="A2" s="123" t="s">
        <v>151</v>
      </c>
      <c r="F2" s="1" t="s">
        <v>137</v>
      </c>
    </row>
    <row r="3" spans="1:6" ht="15.75" customHeight="1">
      <c r="A3" s="161" t="s">
        <v>155</v>
      </c>
      <c r="B3" s="162"/>
      <c r="C3" s="162"/>
      <c r="D3" s="162"/>
      <c r="E3" s="162"/>
      <c r="F3" s="169">
        <v>41426</v>
      </c>
    </row>
    <row r="4" spans="1:6" ht="14.25">
      <c r="A4" s="2" t="s">
        <v>0</v>
      </c>
      <c r="B4" s="3" t="s">
        <v>1</v>
      </c>
      <c r="C4" s="4" t="s">
        <v>2</v>
      </c>
      <c r="D4" s="3" t="s">
        <v>3</v>
      </c>
      <c r="E4" s="5" t="s">
        <v>4</v>
      </c>
      <c r="F4" s="3" t="s">
        <v>158</v>
      </c>
    </row>
    <row r="5" spans="1:6" ht="14.25">
      <c r="A5" s="2" t="s">
        <v>5</v>
      </c>
      <c r="B5" s="6"/>
      <c r="C5" s="7"/>
      <c r="D5" s="8"/>
      <c r="E5" s="15"/>
      <c r="F5" s="7"/>
    </row>
    <row r="6" spans="1:6" ht="14.25">
      <c r="A6" s="145" t="s">
        <v>150</v>
      </c>
      <c r="B6" s="146" t="s">
        <v>6</v>
      </c>
      <c r="C6" s="147">
        <v>50</v>
      </c>
      <c r="D6" s="148">
        <v>2</v>
      </c>
      <c r="E6" s="124">
        <f>C6*D6</f>
        <v>100</v>
      </c>
      <c r="F6" s="7"/>
    </row>
    <row r="7" spans="1:6" ht="14.25">
      <c r="A7" s="145" t="s">
        <v>144</v>
      </c>
      <c r="B7" s="146" t="s">
        <v>11</v>
      </c>
      <c r="C7" s="147">
        <v>29.7</v>
      </c>
      <c r="D7" s="148">
        <v>5</v>
      </c>
      <c r="E7" s="20">
        <f>C7*D7</f>
        <v>148.5</v>
      </c>
      <c r="F7" s="7"/>
    </row>
    <row r="8" spans="1:6" ht="14.25">
      <c r="A8" s="145" t="s">
        <v>10</v>
      </c>
      <c r="B8" s="146" t="s">
        <v>9</v>
      </c>
      <c r="C8" s="147">
        <v>7</v>
      </c>
      <c r="D8" s="148">
        <v>1</v>
      </c>
      <c r="E8" s="15">
        <f aca="true" t="shared" si="0" ref="E8:E14">C8*D8</f>
        <v>7</v>
      </c>
      <c r="F8" s="7"/>
    </row>
    <row r="9" spans="1:6" ht="14.25">
      <c r="A9" s="145" t="s">
        <v>8</v>
      </c>
      <c r="B9" s="146" t="s">
        <v>9</v>
      </c>
      <c r="C9" s="147">
        <v>5</v>
      </c>
      <c r="D9" s="148">
        <v>1</v>
      </c>
      <c r="E9" s="15">
        <f t="shared" si="0"/>
        <v>5</v>
      </c>
      <c r="F9" s="7"/>
    </row>
    <row r="10" spans="1:6" ht="14.25">
      <c r="A10" s="145" t="s">
        <v>129</v>
      </c>
      <c r="B10" s="146" t="s">
        <v>7</v>
      </c>
      <c r="C10" s="147">
        <v>2</v>
      </c>
      <c r="D10" s="148">
        <v>10</v>
      </c>
      <c r="E10" s="15">
        <f t="shared" si="0"/>
        <v>20</v>
      </c>
      <c r="F10" s="7"/>
    </row>
    <row r="11" spans="1:6" ht="14.25">
      <c r="A11" s="145" t="s">
        <v>130</v>
      </c>
      <c r="B11" s="146" t="s">
        <v>7</v>
      </c>
      <c r="C11" s="147">
        <v>3.75</v>
      </c>
      <c r="D11" s="148">
        <v>4</v>
      </c>
      <c r="E11" s="15">
        <f t="shared" si="0"/>
        <v>15</v>
      </c>
      <c r="F11" s="7"/>
    </row>
    <row r="12" spans="1:6" ht="14.25">
      <c r="A12" s="145" t="s">
        <v>143</v>
      </c>
      <c r="B12" s="146" t="s">
        <v>7</v>
      </c>
      <c r="C12" s="147">
        <v>0.2</v>
      </c>
      <c r="D12" s="148">
        <v>4</v>
      </c>
      <c r="E12" s="15">
        <f t="shared" si="0"/>
        <v>0.8</v>
      </c>
      <c r="F12" s="7"/>
    </row>
    <row r="13" spans="1:6" ht="14.25">
      <c r="A13" s="145" t="s">
        <v>12</v>
      </c>
      <c r="B13" s="146"/>
      <c r="C13" s="147"/>
      <c r="D13" s="148"/>
      <c r="E13" s="15">
        <f t="shared" si="0"/>
        <v>0</v>
      </c>
      <c r="F13" s="7"/>
    </row>
    <row r="14" spans="1:6" ht="14.25">
      <c r="A14" s="145" t="s">
        <v>12</v>
      </c>
      <c r="B14" s="146"/>
      <c r="C14" s="147"/>
      <c r="D14" s="148"/>
      <c r="E14" s="15">
        <f t="shared" si="0"/>
        <v>0</v>
      </c>
      <c r="F14" s="7"/>
    </row>
    <row r="15" spans="1:6" ht="14.25">
      <c r="A15" s="7" t="s">
        <v>86</v>
      </c>
      <c r="B15" s="6"/>
      <c r="C15" s="107"/>
      <c r="D15" s="22"/>
      <c r="E15" s="20">
        <f>'Clover-GrassEstabFixedCosts87-1'!N48</f>
        <v>10.394822190611663</v>
      </c>
      <c r="F15" s="7"/>
    </row>
    <row r="16" spans="1:6" ht="14.25">
      <c r="A16" s="145" t="s">
        <v>25</v>
      </c>
      <c r="B16" s="146" t="s">
        <v>13</v>
      </c>
      <c r="C16" s="147">
        <v>12</v>
      </c>
      <c r="D16" s="148">
        <v>0</v>
      </c>
      <c r="E16" s="20">
        <f>C16*D16</f>
        <v>0</v>
      </c>
      <c r="F16" s="7"/>
    </row>
    <row r="17" spans="1:6" ht="14.25">
      <c r="A17" s="7" t="s">
        <v>89</v>
      </c>
      <c r="B17" s="6" t="s">
        <v>9</v>
      </c>
      <c r="C17" s="107"/>
      <c r="D17" s="22"/>
      <c r="E17" s="20">
        <f>'Clover-GrassEstabFixedCosts87-1'!L48</f>
        <v>10.043700813181605</v>
      </c>
      <c r="F17" s="7"/>
    </row>
    <row r="18" spans="1:6" ht="14.25">
      <c r="A18" s="7" t="s">
        <v>131</v>
      </c>
      <c r="B18" s="6" t="s">
        <v>26</v>
      </c>
      <c r="C18" s="149">
        <v>0.05</v>
      </c>
      <c r="D18" s="22">
        <f>SUM(E6:E17)*(3/12)</f>
        <v>79.18463075094832</v>
      </c>
      <c r="E18" s="20">
        <f>C18*D18</f>
        <v>3.959231537547416</v>
      </c>
      <c r="F18" s="7"/>
    </row>
    <row r="19" spans="1:6" ht="18" customHeight="1">
      <c r="A19" s="2" t="s">
        <v>14</v>
      </c>
      <c r="B19" s="6"/>
      <c r="C19" s="7"/>
      <c r="D19" s="22"/>
      <c r="E19" s="125">
        <f>SUM(E6:E18)</f>
        <v>320.69775454134066</v>
      </c>
      <c r="F19" s="7"/>
    </row>
    <row r="20" spans="1:6" ht="6.75" customHeight="1">
      <c r="A20" s="118"/>
      <c r="B20" s="11"/>
      <c r="C20" s="11"/>
      <c r="D20" s="11"/>
      <c r="E20" s="23"/>
      <c r="F20" s="12"/>
    </row>
    <row r="21" spans="1:6" ht="14.25" customHeight="1">
      <c r="A21" s="7"/>
      <c r="B21" s="7"/>
      <c r="C21" s="3"/>
      <c r="D21" s="115" t="s">
        <v>15</v>
      </c>
      <c r="E21" s="116" t="s">
        <v>4</v>
      </c>
      <c r="F21" s="3"/>
    </row>
    <row r="22" spans="1:6" ht="14.25">
      <c r="A22" s="7" t="s">
        <v>16</v>
      </c>
      <c r="B22" s="7"/>
      <c r="C22" s="13"/>
      <c r="D22" s="10"/>
      <c r="E22" s="20"/>
      <c r="F22" s="7"/>
    </row>
    <row r="23" spans="1:6" ht="14.25">
      <c r="A23" s="7" t="s">
        <v>87</v>
      </c>
      <c r="B23" s="7"/>
      <c r="C23" s="13"/>
      <c r="D23" s="10"/>
      <c r="E23" s="20"/>
      <c r="F23" s="7"/>
    </row>
    <row r="24" spans="1:6" ht="14.25">
      <c r="A24" s="7" t="s">
        <v>88</v>
      </c>
      <c r="B24" s="7"/>
      <c r="C24" s="13"/>
      <c r="D24" s="10"/>
      <c r="E24" s="126">
        <f>'Clover-GrassEstabFixedCosts87-1'!O24</f>
        <v>12.535693084187946</v>
      </c>
      <c r="F24" s="7"/>
    </row>
    <row r="25" spans="1:6" ht="18.75" customHeight="1">
      <c r="A25" s="103" t="s">
        <v>17</v>
      </c>
      <c r="B25" s="7"/>
      <c r="C25" s="9"/>
      <c r="D25" s="7"/>
      <c r="E25" s="93">
        <f>E19+E24</f>
        <v>333.2334476255286</v>
      </c>
      <c r="F25" s="7"/>
    </row>
    <row r="26" spans="1:6" ht="6" customHeight="1">
      <c r="A26" s="118"/>
      <c r="B26" s="11"/>
      <c r="C26" s="11"/>
      <c r="D26" s="11"/>
      <c r="E26" s="11"/>
      <c r="F26" s="14"/>
    </row>
    <row r="27" spans="1:6" ht="13.5" customHeight="1">
      <c r="A27" s="7"/>
      <c r="B27" s="3" t="s">
        <v>1</v>
      </c>
      <c r="C27" s="4" t="s">
        <v>124</v>
      </c>
      <c r="D27" s="3" t="s">
        <v>3</v>
      </c>
      <c r="E27" s="5" t="s">
        <v>4</v>
      </c>
      <c r="F27" s="3"/>
    </row>
    <row r="28" spans="1:6" ht="13.5" customHeight="1">
      <c r="A28" s="7" t="s">
        <v>18</v>
      </c>
      <c r="B28" s="7"/>
      <c r="C28" s="7"/>
      <c r="D28" s="7"/>
      <c r="E28" s="7"/>
      <c r="F28" s="7"/>
    </row>
    <row r="29" spans="1:6" ht="14.25" customHeight="1">
      <c r="A29" s="145" t="s">
        <v>19</v>
      </c>
      <c r="B29" s="146" t="s">
        <v>6</v>
      </c>
      <c r="C29" s="150">
        <v>40</v>
      </c>
      <c r="D29" s="148">
        <v>0</v>
      </c>
      <c r="E29" s="15">
        <f>C29*D29</f>
        <v>0</v>
      </c>
      <c r="F29" s="7"/>
    </row>
    <row r="30" spans="1:6" ht="15">
      <c r="A30" s="103" t="s">
        <v>20</v>
      </c>
      <c r="B30" s="7"/>
      <c r="C30" s="7"/>
      <c r="D30" s="7"/>
      <c r="E30" s="93">
        <f>E29</f>
        <v>0</v>
      </c>
      <c r="F30" s="7"/>
    </row>
    <row r="31" spans="1:6" ht="6" customHeight="1">
      <c r="A31" s="16"/>
      <c r="B31" s="16"/>
      <c r="C31" s="16"/>
      <c r="D31" s="16"/>
      <c r="E31" s="25"/>
      <c r="F31" s="16"/>
    </row>
    <row r="32" spans="1:6" ht="18.75" customHeight="1">
      <c r="A32" s="119" t="s">
        <v>21</v>
      </c>
      <c r="B32" s="121"/>
      <c r="C32" s="121"/>
      <c r="D32" s="120"/>
      <c r="E32" s="93">
        <f>E30-E19</f>
        <v>-320.69775454134066</v>
      </c>
      <c r="F32" s="7"/>
    </row>
    <row r="33" spans="1:6" ht="18.75" customHeight="1">
      <c r="A33" s="119" t="s">
        <v>139</v>
      </c>
      <c r="B33" s="121"/>
      <c r="C33" s="121"/>
      <c r="D33" s="120"/>
      <c r="E33" s="93">
        <f>E30-E25</f>
        <v>-333.2334476255286</v>
      </c>
      <c r="F33" s="7"/>
    </row>
    <row r="34" spans="1:6" ht="16.5" customHeight="1">
      <c r="A34" s="19" t="s">
        <v>132</v>
      </c>
      <c r="B34" s="17"/>
      <c r="C34" s="17"/>
      <c r="D34" s="17"/>
      <c r="E34" s="18"/>
      <c r="F34" s="17"/>
    </row>
    <row r="35" spans="1:6" ht="15" customHeight="1">
      <c r="A35" s="19" t="s">
        <v>140</v>
      </c>
      <c r="B35" s="17"/>
      <c r="C35" s="17"/>
      <c r="D35" s="17"/>
      <c r="E35" s="18"/>
      <c r="F35" s="17"/>
    </row>
    <row r="36" spans="1:6" ht="14.25" customHeight="1">
      <c r="A36" s="19" t="s">
        <v>138</v>
      </c>
      <c r="B36" s="17"/>
      <c r="C36" s="17"/>
      <c r="D36" s="17"/>
      <c r="E36" s="94"/>
      <c r="F36" s="17"/>
    </row>
    <row r="37" spans="1:6" ht="13.5" customHeight="1">
      <c r="A37" s="17" t="s">
        <v>153</v>
      </c>
      <c r="B37" s="17"/>
      <c r="C37" s="17"/>
      <c r="D37" s="17"/>
      <c r="E37" s="18"/>
      <c r="F37" s="17"/>
    </row>
    <row r="38" spans="1:6" ht="14.25">
      <c r="A38" s="17"/>
      <c r="B38" s="17"/>
      <c r="C38" s="17"/>
      <c r="D38" s="17"/>
      <c r="E38" s="18"/>
      <c r="F38" s="17"/>
    </row>
    <row r="39" spans="1:6" ht="14.25">
      <c r="A39" t="s">
        <v>23</v>
      </c>
      <c r="B39" s="17"/>
      <c r="C39" s="17"/>
      <c r="D39" s="17"/>
      <c r="E39" s="18"/>
      <c r="F39" s="17"/>
    </row>
    <row r="40" spans="1:6" ht="14.25">
      <c r="A40" s="17" t="s">
        <v>27</v>
      </c>
      <c r="B40" s="17"/>
      <c r="C40" s="17"/>
      <c r="D40" s="17"/>
      <c r="E40" s="18"/>
      <c r="F40" s="17"/>
    </row>
    <row r="41" spans="1:6" ht="14.25">
      <c r="A41" s="17" t="s">
        <v>24</v>
      </c>
      <c r="B41" s="17"/>
      <c r="C41" s="17"/>
      <c r="D41" s="17"/>
      <c r="E41" s="18"/>
      <c r="F41" s="17"/>
    </row>
    <row r="42" spans="1:6" ht="14.25">
      <c r="A42" s="17" t="s">
        <v>141</v>
      </c>
      <c r="B42" s="17"/>
      <c r="C42" s="17"/>
      <c r="D42" s="17"/>
      <c r="E42" s="18"/>
      <c r="F42" s="17"/>
    </row>
    <row r="43" spans="1:6" ht="14.25">
      <c r="A43" s="17"/>
      <c r="B43" s="17"/>
      <c r="C43" s="17"/>
      <c r="D43" s="17"/>
      <c r="E43" s="18"/>
      <c r="F43" s="17"/>
    </row>
    <row r="44" spans="1:6" ht="14.25">
      <c r="A44" s="17" t="s">
        <v>22</v>
      </c>
      <c r="B44" s="17"/>
      <c r="C44" s="17"/>
      <c r="D44" s="17"/>
      <c r="E44" s="18"/>
      <c r="F44" s="17"/>
    </row>
    <row r="45" spans="1:6" ht="14.25">
      <c r="A45" s="17" t="s">
        <v>159</v>
      </c>
      <c r="B45" s="17"/>
      <c r="C45" s="17"/>
      <c r="D45" s="17"/>
      <c r="E45" s="18"/>
      <c r="F45" s="17"/>
    </row>
    <row r="46" spans="1:6" ht="14.25">
      <c r="A46" s="17" t="s">
        <v>165</v>
      </c>
      <c r="B46" s="17"/>
      <c r="C46" s="17"/>
      <c r="D46" s="17"/>
      <c r="E46" s="18"/>
      <c r="F46" s="17"/>
    </row>
    <row r="47" spans="2:6" ht="14.25">
      <c r="B47" s="17"/>
      <c r="C47" s="17"/>
      <c r="D47" s="17"/>
      <c r="E47" s="18"/>
      <c r="F47" s="17"/>
    </row>
  </sheetData>
  <sheetProtection sheet="1" selectLockedCells="1"/>
  <printOptions horizontalCentered="1"/>
  <pageMargins left="0.75" right="0.63" top="0.89" bottom="1" header="0.5" footer="0.5"/>
  <pageSetup horizontalDpi="1200" verticalDpi="12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5"/>
  <sheetViews>
    <sheetView zoomScale="70" zoomScaleNormal="70" zoomScaleSheetLayoutView="66" zoomScalePageLayoutView="0" workbookViewId="0" topLeftCell="A1">
      <selection activeCell="G8" sqref="G8"/>
    </sheetView>
  </sheetViews>
  <sheetFormatPr defaultColWidth="9.00390625" defaultRowHeight="14.25"/>
  <cols>
    <col min="1" max="1" width="18.875" style="0" customWidth="1"/>
    <col min="2" max="2" width="4.375" style="0" customWidth="1"/>
    <col min="3" max="3" width="9.625" style="0" customWidth="1"/>
    <col min="4" max="4" width="9.125" style="0" customWidth="1"/>
    <col min="5" max="5" width="9.875" style="0" customWidth="1"/>
    <col min="6" max="6" width="8.25390625" style="0" customWidth="1"/>
    <col min="7" max="7" width="8.625" style="0" customWidth="1"/>
    <col min="8" max="8" width="8.375" style="0" customWidth="1"/>
    <col min="11" max="11" width="9.375" style="0" customWidth="1"/>
    <col min="12" max="12" width="9.875" style="0" customWidth="1"/>
    <col min="13" max="13" width="9.375" style="0" customWidth="1"/>
    <col min="14" max="14" width="8.25390625" style="0" customWidth="1"/>
    <col min="15" max="15" width="9.375" style="0" customWidth="1"/>
  </cols>
  <sheetData>
    <row r="1" spans="1:15" ht="15">
      <c r="A1" s="79" t="str">
        <f>'Clover-GrassEtablishBudget87-1'!A2</f>
        <v>Ladino Clover-Cool Season Grass Pasture:  Estimated revenue, operating</v>
      </c>
      <c r="B1" s="26"/>
      <c r="C1" s="27"/>
      <c r="D1" s="27"/>
      <c r="E1" s="27"/>
      <c r="F1" s="27"/>
      <c r="G1" s="27"/>
      <c r="H1" s="165"/>
      <c r="I1" s="164"/>
      <c r="J1" s="27"/>
      <c r="K1" s="27"/>
      <c r="L1" s="27"/>
      <c r="O1" s="29" t="str">
        <f>'Clover-GrassEtablishBudget87-1'!F2</f>
        <v>Budget 87-1</v>
      </c>
    </row>
    <row r="2" spans="1:15" ht="14.25">
      <c r="A2" s="27" t="str">
        <f>'Clover-GrassEtablishBudget87-1'!A3</f>
        <v>cost, fixed cost, and net returns per acre in the establishment year (No-till).      </v>
      </c>
      <c r="B2" s="27"/>
      <c r="C2" s="27"/>
      <c r="D2" s="27"/>
      <c r="E2" s="27"/>
      <c r="F2" s="27"/>
      <c r="G2" s="27"/>
      <c r="H2" s="30"/>
      <c r="J2" s="27"/>
      <c r="K2" s="27"/>
      <c r="L2" s="27"/>
      <c r="O2" s="170">
        <f>'Clover-GrassEtablishBudget87-1'!F3</f>
        <v>41426</v>
      </c>
    </row>
    <row r="3" spans="1:15" ht="8.25" customHeight="1">
      <c r="A3" s="27"/>
      <c r="B3" s="27"/>
      <c r="C3" s="27"/>
      <c r="D3" s="27"/>
      <c r="E3" s="27"/>
      <c r="F3" s="27"/>
      <c r="G3" s="27"/>
      <c r="H3" s="30"/>
      <c r="J3" s="27"/>
      <c r="K3" s="27"/>
      <c r="L3" s="27"/>
      <c r="O3" s="85"/>
    </row>
    <row r="4" spans="1:13" ht="15">
      <c r="A4" s="31" t="s">
        <v>28</v>
      </c>
      <c r="B4" s="31"/>
      <c r="C4" s="32"/>
      <c r="D4" s="32"/>
      <c r="E4" s="32"/>
      <c r="F4" s="32"/>
      <c r="G4" s="32"/>
      <c r="H4" s="27"/>
      <c r="I4" s="27"/>
      <c r="J4" s="27"/>
      <c r="K4" s="27"/>
      <c r="L4" s="27"/>
      <c r="M4" s="27"/>
    </row>
    <row r="5" spans="1:15" ht="17.25">
      <c r="A5" s="33" t="s">
        <v>29</v>
      </c>
      <c r="B5" s="34"/>
      <c r="C5" s="34" t="s">
        <v>30</v>
      </c>
      <c r="D5" s="34" t="s">
        <v>31</v>
      </c>
      <c r="E5" s="34" t="s">
        <v>32</v>
      </c>
      <c r="F5" s="35" t="s">
        <v>33</v>
      </c>
      <c r="G5" s="35" t="s">
        <v>34</v>
      </c>
      <c r="H5" s="34" t="s">
        <v>35</v>
      </c>
      <c r="I5" s="34" t="s">
        <v>36</v>
      </c>
      <c r="J5" s="36" t="s">
        <v>36</v>
      </c>
      <c r="K5" s="36" t="s">
        <v>37</v>
      </c>
      <c r="L5" s="36" t="s">
        <v>38</v>
      </c>
      <c r="M5" s="36" t="s">
        <v>39</v>
      </c>
      <c r="N5" s="34" t="s">
        <v>40</v>
      </c>
      <c r="O5" s="36" t="s">
        <v>41</v>
      </c>
    </row>
    <row r="6" spans="1:15" ht="17.25">
      <c r="A6" s="37"/>
      <c r="B6" s="37"/>
      <c r="C6" s="37"/>
      <c r="D6" s="37" t="s">
        <v>42</v>
      </c>
      <c r="E6" s="37" t="s">
        <v>4</v>
      </c>
      <c r="F6" s="38" t="s">
        <v>43</v>
      </c>
      <c r="G6" s="37"/>
      <c r="H6" s="38" t="s">
        <v>44</v>
      </c>
      <c r="I6" s="37" t="s">
        <v>37</v>
      </c>
      <c r="J6" s="39" t="s">
        <v>45</v>
      </c>
      <c r="K6" s="39" t="s">
        <v>46</v>
      </c>
      <c r="L6" s="39" t="s">
        <v>46</v>
      </c>
      <c r="M6" s="39" t="s">
        <v>47</v>
      </c>
      <c r="N6" s="37" t="s">
        <v>48</v>
      </c>
      <c r="O6" s="39" t="s">
        <v>39</v>
      </c>
    </row>
    <row r="7" spans="1:15" ht="14.25">
      <c r="A7" s="32"/>
      <c r="B7" s="32"/>
      <c r="C7" s="40" t="s">
        <v>49</v>
      </c>
      <c r="D7" s="40" t="s">
        <v>26</v>
      </c>
      <c r="E7" s="40" t="s">
        <v>26</v>
      </c>
      <c r="F7" s="40" t="s">
        <v>26</v>
      </c>
      <c r="G7" s="40" t="s">
        <v>26</v>
      </c>
      <c r="H7" s="40" t="s">
        <v>26</v>
      </c>
      <c r="I7" s="40" t="s">
        <v>26</v>
      </c>
      <c r="J7" s="40" t="s">
        <v>13</v>
      </c>
      <c r="K7" s="40" t="s">
        <v>26</v>
      </c>
      <c r="L7" s="40" t="s">
        <v>50</v>
      </c>
      <c r="M7" s="40" t="s">
        <v>26</v>
      </c>
      <c r="N7" s="41" t="s">
        <v>50</v>
      </c>
      <c r="O7" s="40" t="s">
        <v>51</v>
      </c>
    </row>
    <row r="8" spans="1:15" ht="14.25">
      <c r="A8" s="27" t="s">
        <v>91</v>
      </c>
      <c r="B8" s="27"/>
      <c r="C8" s="40"/>
      <c r="D8" s="40"/>
      <c r="E8" s="40"/>
      <c r="F8" s="40"/>
      <c r="G8" s="127">
        <v>0.05</v>
      </c>
      <c r="H8" s="127">
        <v>0.014</v>
      </c>
      <c r="I8" s="42"/>
      <c r="J8" s="27"/>
      <c r="K8" s="27"/>
      <c r="L8" s="27"/>
      <c r="M8" s="27"/>
      <c r="N8" s="27"/>
      <c r="O8" s="27"/>
    </row>
    <row r="9" spans="1:15" ht="14.25">
      <c r="A9" s="27" t="s">
        <v>145</v>
      </c>
      <c r="B9" s="27"/>
      <c r="C9" s="50"/>
      <c r="D9" s="45"/>
      <c r="E9" s="45"/>
      <c r="F9" s="45"/>
      <c r="G9" s="46"/>
      <c r="H9" s="46"/>
      <c r="I9" s="45"/>
      <c r="J9" s="52"/>
      <c r="K9" s="49"/>
      <c r="L9" s="50"/>
      <c r="M9" s="47"/>
      <c r="N9" s="40"/>
      <c r="O9" s="27"/>
    </row>
    <row r="10" spans="1:15" ht="14.25">
      <c r="A10" s="44" t="s">
        <v>103</v>
      </c>
      <c r="B10" s="128">
        <v>55</v>
      </c>
      <c r="C10" s="129">
        <v>10</v>
      </c>
      <c r="D10" s="130">
        <v>23150</v>
      </c>
      <c r="E10" s="159">
        <f>D10*0.31</f>
        <v>7176.5</v>
      </c>
      <c r="F10" s="45">
        <f aca="true" t="shared" si="0" ref="F10:F15">+(D10-E10)/C10</f>
        <v>1597.35</v>
      </c>
      <c r="G10" s="46">
        <f aca="true" t="shared" si="1" ref="G10:G15">+((D10+E10)/2)*$G$8</f>
        <v>758.1625</v>
      </c>
      <c r="H10" s="46">
        <f aca="true" t="shared" si="2" ref="H10:H15">((D10+E10)/2)*$H$8</f>
        <v>212.2855</v>
      </c>
      <c r="I10" s="46">
        <f aca="true" t="shared" si="3" ref="I10:I15">SUM(F10:H10)</f>
        <v>2567.798</v>
      </c>
      <c r="J10" s="132">
        <v>500</v>
      </c>
      <c r="K10" s="47">
        <f aca="true" t="shared" si="4" ref="K10:K15">IF(J10=0,0,I10/J10)</f>
        <v>5.135596</v>
      </c>
      <c r="L10" s="129">
        <v>3.5</v>
      </c>
      <c r="M10" s="47">
        <f aca="true" t="shared" si="5" ref="M10:M15">IF(K10&gt;0,K10/L10,0)</f>
        <v>1.4673131428571426</v>
      </c>
      <c r="N10" s="133">
        <v>0</v>
      </c>
      <c r="O10" s="47">
        <f aca="true" t="shared" si="6" ref="O10:O15">M10*N10</f>
        <v>0</v>
      </c>
    </row>
    <row r="11" spans="1:15" ht="14.25">
      <c r="A11" s="128" t="s">
        <v>146</v>
      </c>
      <c r="B11" s="131"/>
      <c r="C11" s="129">
        <v>10</v>
      </c>
      <c r="D11" s="130">
        <v>3675</v>
      </c>
      <c r="E11" s="159">
        <f>D11*0.33</f>
        <v>1212.75</v>
      </c>
      <c r="F11" s="45">
        <f t="shared" si="0"/>
        <v>246.225</v>
      </c>
      <c r="G11" s="46">
        <f t="shared" si="1"/>
        <v>122.19375000000001</v>
      </c>
      <c r="H11" s="46">
        <f t="shared" si="2"/>
        <v>34.21425</v>
      </c>
      <c r="I11" s="46">
        <f t="shared" si="3"/>
        <v>402.633</v>
      </c>
      <c r="J11" s="132">
        <v>100</v>
      </c>
      <c r="K11" s="47">
        <f t="shared" si="4"/>
        <v>4.02633</v>
      </c>
      <c r="L11" s="122">
        <f>L10</f>
        <v>3.5</v>
      </c>
      <c r="M11" s="47">
        <f t="shared" si="5"/>
        <v>1.15038</v>
      </c>
      <c r="N11" s="87">
        <f>N10</f>
        <v>0</v>
      </c>
      <c r="O11" s="47">
        <f t="shared" si="6"/>
        <v>0</v>
      </c>
    </row>
    <row r="12" spans="1:15" ht="14.25">
      <c r="A12" s="44" t="s">
        <v>103</v>
      </c>
      <c r="B12" s="128">
        <v>55</v>
      </c>
      <c r="C12" s="129">
        <v>10</v>
      </c>
      <c r="D12" s="130">
        <v>23150</v>
      </c>
      <c r="E12" s="159">
        <f>D12*0.31</f>
        <v>7176.5</v>
      </c>
      <c r="F12" s="45">
        <f t="shared" si="0"/>
        <v>1597.35</v>
      </c>
      <c r="G12" s="46">
        <f t="shared" si="1"/>
        <v>758.1625</v>
      </c>
      <c r="H12" s="46">
        <f t="shared" si="2"/>
        <v>212.2855</v>
      </c>
      <c r="I12" s="46">
        <f t="shared" si="3"/>
        <v>2567.798</v>
      </c>
      <c r="J12" s="132">
        <v>500</v>
      </c>
      <c r="K12" s="47">
        <f t="shared" si="4"/>
        <v>5.135596</v>
      </c>
      <c r="L12" s="129">
        <v>5.4</v>
      </c>
      <c r="M12" s="47">
        <f t="shared" si="5"/>
        <v>0.9510362962962962</v>
      </c>
      <c r="N12" s="133">
        <v>0</v>
      </c>
      <c r="O12" s="47">
        <f t="shared" si="6"/>
        <v>0</v>
      </c>
    </row>
    <row r="13" spans="1:15" ht="14.25">
      <c r="A13" s="128" t="s">
        <v>147</v>
      </c>
      <c r="B13" s="131"/>
      <c r="C13" s="129">
        <v>10</v>
      </c>
      <c r="D13" s="130">
        <v>6150</v>
      </c>
      <c r="E13" s="159">
        <f>D13*0.3</f>
        <v>1845</v>
      </c>
      <c r="F13" s="45">
        <f t="shared" si="0"/>
        <v>430.5</v>
      </c>
      <c r="G13" s="46">
        <f t="shared" si="1"/>
        <v>199.875</v>
      </c>
      <c r="H13" s="46">
        <f t="shared" si="2"/>
        <v>55.965</v>
      </c>
      <c r="I13" s="46">
        <f t="shared" si="3"/>
        <v>686.34</v>
      </c>
      <c r="J13" s="132">
        <v>100</v>
      </c>
      <c r="K13" s="47">
        <f t="shared" si="4"/>
        <v>6.8634</v>
      </c>
      <c r="L13" s="122">
        <f>L12</f>
        <v>5.4</v>
      </c>
      <c r="M13" s="47">
        <f t="shared" si="5"/>
        <v>1.271</v>
      </c>
      <c r="N13" s="87">
        <f>N12</f>
        <v>0</v>
      </c>
      <c r="O13" s="47">
        <f t="shared" si="6"/>
        <v>0</v>
      </c>
    </row>
    <row r="14" spans="1:15" ht="14.25">
      <c r="A14" s="44" t="s">
        <v>103</v>
      </c>
      <c r="B14" s="128">
        <v>35</v>
      </c>
      <c r="C14" s="129">
        <v>10</v>
      </c>
      <c r="D14" s="130">
        <v>19075</v>
      </c>
      <c r="E14" s="159">
        <f>D14*0.31</f>
        <v>5913.25</v>
      </c>
      <c r="F14" s="45">
        <f t="shared" si="0"/>
        <v>1316.175</v>
      </c>
      <c r="G14" s="46">
        <f t="shared" si="1"/>
        <v>624.7062500000001</v>
      </c>
      <c r="H14" s="46">
        <f t="shared" si="2"/>
        <v>174.91775</v>
      </c>
      <c r="I14" s="46">
        <f t="shared" si="3"/>
        <v>2115.799</v>
      </c>
      <c r="J14" s="132">
        <v>500</v>
      </c>
      <c r="K14" s="47">
        <f t="shared" si="4"/>
        <v>4.231598</v>
      </c>
      <c r="L14" s="129">
        <v>5.4</v>
      </c>
      <c r="M14" s="47">
        <f t="shared" si="5"/>
        <v>0.7836292592592592</v>
      </c>
      <c r="N14" s="133">
        <v>0</v>
      </c>
      <c r="O14" s="47">
        <f t="shared" si="6"/>
        <v>0</v>
      </c>
    </row>
    <row r="15" spans="1:15" ht="14.25">
      <c r="A15" s="128" t="s">
        <v>148</v>
      </c>
      <c r="B15" s="131"/>
      <c r="C15" s="129">
        <v>10</v>
      </c>
      <c r="D15" s="130">
        <v>1500</v>
      </c>
      <c r="E15" s="159">
        <f>D15*0.3</f>
        <v>450</v>
      </c>
      <c r="F15" s="45">
        <f t="shared" si="0"/>
        <v>105</v>
      </c>
      <c r="G15" s="46">
        <f t="shared" si="1"/>
        <v>48.75</v>
      </c>
      <c r="H15" s="46">
        <f t="shared" si="2"/>
        <v>13.65</v>
      </c>
      <c r="I15" s="46">
        <f t="shared" si="3"/>
        <v>167.4</v>
      </c>
      <c r="J15" s="132">
        <v>100</v>
      </c>
      <c r="K15" s="47">
        <f t="shared" si="4"/>
        <v>1.6740000000000002</v>
      </c>
      <c r="L15" s="122">
        <f>L14</f>
        <v>5.4</v>
      </c>
      <c r="M15" s="47">
        <f t="shared" si="5"/>
        <v>0.31</v>
      </c>
      <c r="N15" s="87">
        <f>N14</f>
        <v>0</v>
      </c>
      <c r="O15" s="47">
        <f t="shared" si="6"/>
        <v>0</v>
      </c>
    </row>
    <row r="16" spans="1:14" ht="14.25">
      <c r="A16" s="27" t="s">
        <v>52</v>
      </c>
      <c r="B16" s="27"/>
      <c r="C16" s="40"/>
      <c r="D16" s="40"/>
      <c r="E16" s="40"/>
      <c r="F16" s="40"/>
      <c r="G16" s="42"/>
      <c r="H16" s="42"/>
      <c r="I16" s="42"/>
      <c r="J16" s="27"/>
      <c r="K16" s="27"/>
      <c r="L16" s="27"/>
      <c r="M16" s="27"/>
      <c r="N16" s="43"/>
    </row>
    <row r="17" spans="1:15" ht="14.25">
      <c r="A17" s="44" t="s">
        <v>103</v>
      </c>
      <c r="B17" s="134">
        <v>35</v>
      </c>
      <c r="C17" s="129">
        <v>10</v>
      </c>
      <c r="D17" s="130">
        <v>19075</v>
      </c>
      <c r="E17" s="159">
        <f>D17*0.31</f>
        <v>5913.25</v>
      </c>
      <c r="F17" s="45">
        <f>+(D17-E17)/C17</f>
        <v>1316.175</v>
      </c>
      <c r="G17" s="46">
        <f>+((D17+E17)/2)*$G$8</f>
        <v>624.7062500000001</v>
      </c>
      <c r="H17" s="46">
        <f>((D17+E17)/2)*$H$8</f>
        <v>174.91775</v>
      </c>
      <c r="I17" s="46">
        <f>SUM(F17:H17)</f>
        <v>2115.799</v>
      </c>
      <c r="J17" s="132">
        <v>500</v>
      </c>
      <c r="K17" s="47">
        <f>IF(J17=0,0,I17/J17)</f>
        <v>4.231598</v>
      </c>
      <c r="L17" s="129">
        <v>11.1</v>
      </c>
      <c r="M17" s="47">
        <f>IF(K17&gt;0,K17/L17,0)</f>
        <v>0.38122504504504506</v>
      </c>
      <c r="N17" s="133">
        <v>1</v>
      </c>
      <c r="O17" s="47">
        <f>M17*N17</f>
        <v>0.38122504504504506</v>
      </c>
    </row>
    <row r="18" spans="1:15" ht="14.25">
      <c r="A18" s="128" t="s">
        <v>94</v>
      </c>
      <c r="B18" s="131"/>
      <c r="C18" s="129">
        <v>15</v>
      </c>
      <c r="D18" s="130">
        <v>2350</v>
      </c>
      <c r="E18" s="159">
        <f>D18*0.4</f>
        <v>940</v>
      </c>
      <c r="F18" s="45">
        <f>+(D18-E18)/C18</f>
        <v>94</v>
      </c>
      <c r="G18" s="46">
        <f>+((D18+E18)/2)*$G$8</f>
        <v>82.25</v>
      </c>
      <c r="H18" s="46">
        <f>((D18+E18)/2)*$H$8</f>
        <v>23.03</v>
      </c>
      <c r="I18" s="46">
        <f>SUM(F18:H18)</f>
        <v>199.28</v>
      </c>
      <c r="J18" s="132">
        <v>80</v>
      </c>
      <c r="K18" s="47">
        <f>IF(J18=0,0,I18/J18)</f>
        <v>2.491</v>
      </c>
      <c r="L18" s="50">
        <f>L17</f>
        <v>11.1</v>
      </c>
      <c r="M18" s="47">
        <f>IF(K18&gt;0,K18/L18,0)</f>
        <v>0.22441441441441443</v>
      </c>
      <c r="N18" s="135">
        <v>1</v>
      </c>
      <c r="O18" s="47">
        <f>M18*N18</f>
        <v>0.22441441441441443</v>
      </c>
    </row>
    <row r="19" spans="1:15" ht="14.25">
      <c r="A19" s="28" t="s">
        <v>53</v>
      </c>
      <c r="B19" s="28"/>
      <c r="C19" s="67"/>
      <c r="D19" s="48"/>
      <c r="E19" s="48"/>
      <c r="F19" s="48"/>
      <c r="G19" s="46"/>
      <c r="H19" s="46"/>
      <c r="I19" s="48"/>
      <c r="J19" s="48"/>
      <c r="K19" s="49"/>
      <c r="L19" s="50"/>
      <c r="M19" s="47"/>
      <c r="N19" s="51"/>
      <c r="O19" s="27"/>
    </row>
    <row r="20" spans="1:15" ht="14.25">
      <c r="A20" s="44" t="s">
        <v>103</v>
      </c>
      <c r="B20" s="128">
        <v>55</v>
      </c>
      <c r="C20" s="129">
        <v>10</v>
      </c>
      <c r="D20" s="130">
        <v>23150</v>
      </c>
      <c r="E20" s="159">
        <f>D20*0.31</f>
        <v>7176.5</v>
      </c>
      <c r="F20" s="45">
        <f>+(D20-E20)/C20</f>
        <v>1597.35</v>
      </c>
      <c r="G20" s="46">
        <f>+((D20+E20)/2)*$G$8</f>
        <v>758.1625</v>
      </c>
      <c r="H20" s="46">
        <f>((D20+E20)/2)*$H$8</f>
        <v>212.2855</v>
      </c>
      <c r="I20" s="46">
        <f>SUM(F20:H20)</f>
        <v>2567.798</v>
      </c>
      <c r="J20" s="132">
        <v>500</v>
      </c>
      <c r="K20" s="47">
        <f>IF(J20=0,0,I20/J20)</f>
        <v>5.135596</v>
      </c>
      <c r="L20" s="129">
        <v>3.8</v>
      </c>
      <c r="M20" s="47">
        <f>IF(K20&gt;0,K20/L20,0)</f>
        <v>1.3514726315789474</v>
      </c>
      <c r="N20" s="133">
        <v>1</v>
      </c>
      <c r="O20" s="47">
        <f>M20*N20</f>
        <v>1.3514726315789474</v>
      </c>
    </row>
    <row r="21" spans="1:15" ht="14.25">
      <c r="A21" s="128" t="s">
        <v>160</v>
      </c>
      <c r="B21" s="131"/>
      <c r="C21" s="129">
        <v>12</v>
      </c>
      <c r="D21" s="130">
        <v>15850</v>
      </c>
      <c r="E21" s="159">
        <f>D21*0.4</f>
        <v>6340</v>
      </c>
      <c r="F21" s="45">
        <f>+(D21-E21)/C21</f>
        <v>792.5</v>
      </c>
      <c r="G21" s="46">
        <f>+((D21+E21)/2)*$G$8</f>
        <v>554.75</v>
      </c>
      <c r="H21" s="46">
        <f>((D21+E21)/2)*$H$8</f>
        <v>155.33</v>
      </c>
      <c r="I21" s="46">
        <f>SUM(F21:H21)</f>
        <v>1502.58</v>
      </c>
      <c r="J21" s="132">
        <v>100</v>
      </c>
      <c r="K21" s="47">
        <f>IF(J21=0,0,I21/J21)</f>
        <v>15.025799999999998</v>
      </c>
      <c r="L21" s="50">
        <f>L20</f>
        <v>3.8</v>
      </c>
      <c r="M21" s="47">
        <f>IF(K21&gt;0,K21/L21,0)</f>
        <v>3.954157894736842</v>
      </c>
      <c r="N21" s="87">
        <v>1</v>
      </c>
      <c r="O21" s="47">
        <f>M21*N21</f>
        <v>3.954157894736842</v>
      </c>
    </row>
    <row r="22" spans="1:15" ht="14.25">
      <c r="A22" s="92" t="s">
        <v>90</v>
      </c>
      <c r="B22" s="92"/>
      <c r="C22" s="88"/>
      <c r="D22" s="91"/>
      <c r="E22" s="91"/>
      <c r="F22" s="91"/>
      <c r="G22" s="91"/>
      <c r="H22" s="91"/>
      <c r="I22" s="91"/>
      <c r="J22" s="86"/>
      <c r="K22" s="49"/>
      <c r="L22" s="50"/>
      <c r="M22" s="49"/>
      <c r="N22" s="87"/>
      <c r="O22" s="49"/>
    </row>
    <row r="23" spans="1:15" ht="14.25">
      <c r="A23" s="136" t="s">
        <v>93</v>
      </c>
      <c r="B23" s="137"/>
      <c r="C23" s="138">
        <v>10</v>
      </c>
      <c r="D23" s="139">
        <v>30225</v>
      </c>
      <c r="E23" s="160">
        <f>D23*0.26</f>
        <v>7858.5</v>
      </c>
      <c r="F23" s="89">
        <f>+(D23-E23)/C23</f>
        <v>2236.65</v>
      </c>
      <c r="G23" s="90">
        <f>+((D23+E23)/2)*$G$8</f>
        <v>952.0875000000001</v>
      </c>
      <c r="H23" s="175">
        <f>((D23+E23)/2)*$H$8</f>
        <v>266.5845</v>
      </c>
      <c r="I23" s="90">
        <f>SUM(F23:H23)</f>
        <v>3455.322</v>
      </c>
      <c r="J23" s="132">
        <v>500</v>
      </c>
      <c r="K23" s="47">
        <f>IF(J23=0,0,I23/J23)</f>
        <v>6.9106440000000005</v>
      </c>
      <c r="L23" s="129">
        <v>10</v>
      </c>
      <c r="M23" s="47">
        <f>IF(K23&gt;0,K23/L23,0)</f>
        <v>0.6910644</v>
      </c>
      <c r="N23" s="133">
        <v>4</v>
      </c>
      <c r="O23" s="47">
        <f>M23*N23</f>
        <v>2.7642576</v>
      </c>
    </row>
    <row r="24" spans="1:15" ht="15">
      <c r="A24" s="105" t="s">
        <v>156</v>
      </c>
      <c r="B24" s="105"/>
      <c r="C24" s="105"/>
      <c r="D24" s="110"/>
      <c r="E24" s="110"/>
      <c r="F24" s="110"/>
      <c r="G24" s="110"/>
      <c r="H24" s="110"/>
      <c r="I24" s="110"/>
      <c r="J24" s="106"/>
      <c r="K24" s="111"/>
      <c r="L24" s="106"/>
      <c r="M24" s="112"/>
      <c r="N24" s="112"/>
      <c r="O24" s="108">
        <f>SUM(M10:M23)</f>
        <v>12.535693084187946</v>
      </c>
    </row>
    <row r="25" spans="1:13" ht="16.5">
      <c r="A25" s="55" t="s">
        <v>55</v>
      </c>
      <c r="B25" s="55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16.5">
      <c r="A26" s="56" t="s">
        <v>56</v>
      </c>
      <c r="B26" s="5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13.5" customHeight="1">
      <c r="A27" s="56" t="s">
        <v>57</v>
      </c>
      <c r="B27" s="5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ht="16.5">
      <c r="A28" s="57" t="s">
        <v>58</v>
      </c>
      <c r="B28" s="5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8" customHeight="1">
      <c r="A29" s="57" t="s">
        <v>59</v>
      </c>
      <c r="B29" s="5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8" customHeight="1">
      <c r="A30" s="58"/>
      <c r="B30" s="58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5" ht="14.25">
      <c r="A31" s="54"/>
      <c r="B31" s="54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4"/>
      <c r="O31" s="54"/>
    </row>
    <row r="32" spans="1:13" ht="16.5" customHeight="1">
      <c r="A32" s="31" t="s">
        <v>60</v>
      </c>
      <c r="B32" s="31"/>
      <c r="C32" s="32"/>
      <c r="D32" s="32"/>
      <c r="E32" s="32"/>
      <c r="F32" s="32"/>
      <c r="G32" s="32"/>
      <c r="H32" s="27"/>
      <c r="I32" s="27"/>
      <c r="J32" s="27"/>
      <c r="K32" s="27"/>
      <c r="L32" s="27"/>
      <c r="M32" s="27"/>
    </row>
    <row r="33" spans="1:15" ht="16.5" customHeight="1">
      <c r="A33" s="33" t="s">
        <v>29</v>
      </c>
      <c r="B33" s="34"/>
      <c r="C33" s="34" t="s">
        <v>61</v>
      </c>
      <c r="D33" s="34" t="s">
        <v>61</v>
      </c>
      <c r="E33" s="34" t="s">
        <v>61</v>
      </c>
      <c r="F33" s="34" t="s">
        <v>62</v>
      </c>
      <c r="G33" s="34" t="s">
        <v>42</v>
      </c>
      <c r="H33" s="34" t="s">
        <v>96</v>
      </c>
      <c r="I33" s="34" t="s">
        <v>41</v>
      </c>
      <c r="J33" s="36" t="s">
        <v>38</v>
      </c>
      <c r="K33" s="34" t="s">
        <v>40</v>
      </c>
      <c r="L33" s="36" t="s">
        <v>63</v>
      </c>
      <c r="M33" s="36" t="s">
        <v>64</v>
      </c>
      <c r="N33" s="36" t="s">
        <v>64</v>
      </c>
      <c r="O33" s="36" t="s">
        <v>41</v>
      </c>
    </row>
    <row r="34" spans="1:15" ht="17.25">
      <c r="A34" s="37"/>
      <c r="B34" s="37"/>
      <c r="C34" s="38" t="s">
        <v>65</v>
      </c>
      <c r="D34" s="37" t="s">
        <v>66</v>
      </c>
      <c r="E34" s="37" t="s">
        <v>67</v>
      </c>
      <c r="F34" s="37" t="s">
        <v>45</v>
      </c>
      <c r="G34" s="37" t="s">
        <v>68</v>
      </c>
      <c r="H34" s="37" t="s">
        <v>97</v>
      </c>
      <c r="I34" s="37" t="s">
        <v>42</v>
      </c>
      <c r="J34" s="39" t="s">
        <v>46</v>
      </c>
      <c r="K34" s="37" t="s">
        <v>69</v>
      </c>
      <c r="L34" s="39" t="s">
        <v>101</v>
      </c>
      <c r="M34" s="39" t="s">
        <v>42</v>
      </c>
      <c r="N34" s="39" t="s">
        <v>102</v>
      </c>
      <c r="O34" s="39" t="s">
        <v>39</v>
      </c>
    </row>
    <row r="35" spans="1:15" ht="17.25" customHeight="1">
      <c r="A35" s="32"/>
      <c r="B35" s="32"/>
      <c r="C35" s="40" t="s">
        <v>70</v>
      </c>
      <c r="D35" s="40" t="s">
        <v>71</v>
      </c>
      <c r="E35" s="40" t="s">
        <v>72</v>
      </c>
      <c r="F35" s="40" t="s">
        <v>73</v>
      </c>
      <c r="G35" s="40" t="s">
        <v>26</v>
      </c>
      <c r="H35" s="40" t="s">
        <v>72</v>
      </c>
      <c r="I35" s="40" t="s">
        <v>72</v>
      </c>
      <c r="J35" s="40" t="s">
        <v>50</v>
      </c>
      <c r="K35" s="41" t="s">
        <v>50</v>
      </c>
      <c r="L35" s="40" t="s">
        <v>51</v>
      </c>
      <c r="M35" s="40" t="s">
        <v>72</v>
      </c>
      <c r="N35" s="40" t="s">
        <v>51</v>
      </c>
      <c r="O35" s="40" t="s">
        <v>51</v>
      </c>
    </row>
    <row r="36" spans="1:15" ht="14.25">
      <c r="A36" s="27" t="s">
        <v>92</v>
      </c>
      <c r="B36" s="32"/>
      <c r="C36" s="40"/>
      <c r="D36" s="40"/>
      <c r="E36" s="40"/>
      <c r="F36" s="40"/>
      <c r="G36" s="140">
        <v>3.45</v>
      </c>
      <c r="H36" s="40"/>
      <c r="I36" s="40"/>
      <c r="J36" s="40"/>
      <c r="K36" s="41"/>
      <c r="L36" s="40"/>
      <c r="M36" s="141">
        <v>12</v>
      </c>
      <c r="N36" s="40"/>
      <c r="O36" s="40"/>
    </row>
    <row r="37" spans="1:15" ht="14.25">
      <c r="A37" s="27" t="str">
        <f>A10</f>
        <v>  Tractor, HP=</v>
      </c>
      <c r="B37" s="27">
        <f>B10</f>
        <v>55</v>
      </c>
      <c r="C37" s="142">
        <v>0.02</v>
      </c>
      <c r="D37" s="46">
        <f aca="true" t="shared" si="7" ref="D37:D42">D10*C37</f>
        <v>463</v>
      </c>
      <c r="E37" s="60">
        <f aca="true" t="shared" si="8" ref="E37:E42">IF(D37&gt;0,D37/J10,0)</f>
        <v>0.926</v>
      </c>
      <c r="F37" s="52">
        <f>B37*0.044</f>
        <v>2.42</v>
      </c>
      <c r="G37" s="61">
        <f>$G$36</f>
        <v>3.45</v>
      </c>
      <c r="H37" s="60">
        <f>F37*G37*1.15</f>
        <v>9.60135</v>
      </c>
      <c r="I37" s="60">
        <f aca="true" t="shared" si="9" ref="I37:I47">E37+H37</f>
        <v>10.52735</v>
      </c>
      <c r="J37" s="27">
        <f aca="true" t="shared" si="10" ref="J37:J42">L10</f>
        <v>3.5</v>
      </c>
      <c r="K37" s="40">
        <f aca="true" t="shared" si="11" ref="K37:K42">N10</f>
        <v>0</v>
      </c>
      <c r="L37" s="47">
        <f>IF(K37&gt;0,(I37/J37)*K37*1.1,0)</f>
        <v>0</v>
      </c>
      <c r="M37" s="49">
        <f>$M$36</f>
        <v>12</v>
      </c>
      <c r="N37" s="47">
        <f>IF(K37&gt;0,(M37/J37)*K37*1.15,0)</f>
        <v>0</v>
      </c>
      <c r="O37" s="47">
        <f aca="true" t="shared" si="12" ref="O37:O47">L37+N37</f>
        <v>0</v>
      </c>
    </row>
    <row r="38" spans="1:15" ht="14.25">
      <c r="A38" s="27" t="str">
        <f>A11</f>
        <v>  + Chisel plow</v>
      </c>
      <c r="B38" s="27"/>
      <c r="C38" s="142">
        <v>0.03</v>
      </c>
      <c r="D38" s="46">
        <f t="shared" si="7"/>
        <v>110.25</v>
      </c>
      <c r="E38" s="60">
        <f t="shared" si="8"/>
        <v>1.1025</v>
      </c>
      <c r="F38" s="52">
        <v>0</v>
      </c>
      <c r="G38" s="61">
        <v>0</v>
      </c>
      <c r="H38" s="60">
        <f aca="true" t="shared" si="13" ref="H38:H47">F38*G38*1.15</f>
        <v>0</v>
      </c>
      <c r="I38" s="60">
        <f t="shared" si="9"/>
        <v>1.1025</v>
      </c>
      <c r="J38" s="27">
        <f t="shared" si="10"/>
        <v>3.5</v>
      </c>
      <c r="K38" s="40">
        <f t="shared" si="11"/>
        <v>0</v>
      </c>
      <c r="L38" s="47">
        <f aca="true" t="shared" si="14" ref="L38:L47">IF(K38&gt;0,(I38/J38)*K38*1.1,0)</f>
        <v>0</v>
      </c>
      <c r="M38" s="62"/>
      <c r="N38" s="62"/>
      <c r="O38" s="47">
        <f t="shared" si="12"/>
        <v>0</v>
      </c>
    </row>
    <row r="39" spans="1:15" ht="14.25">
      <c r="A39" s="27" t="str">
        <f>A12</f>
        <v>  Tractor, HP=</v>
      </c>
      <c r="B39" s="27">
        <f>B12</f>
        <v>55</v>
      </c>
      <c r="C39" s="142">
        <v>0.02</v>
      </c>
      <c r="D39" s="46">
        <f t="shared" si="7"/>
        <v>463</v>
      </c>
      <c r="E39" s="60">
        <f t="shared" si="8"/>
        <v>0.926</v>
      </c>
      <c r="F39" s="52">
        <f>B39*0.044</f>
        <v>2.42</v>
      </c>
      <c r="G39" s="61">
        <f>$G$36</f>
        <v>3.45</v>
      </c>
      <c r="H39" s="60">
        <f t="shared" si="13"/>
        <v>9.60135</v>
      </c>
      <c r="I39" s="60">
        <f t="shared" si="9"/>
        <v>10.52735</v>
      </c>
      <c r="J39" s="27">
        <f t="shared" si="10"/>
        <v>5.4</v>
      </c>
      <c r="K39" s="40">
        <f t="shared" si="11"/>
        <v>0</v>
      </c>
      <c r="L39" s="47">
        <f t="shared" si="14"/>
        <v>0</v>
      </c>
      <c r="M39" s="49">
        <f>$M$36</f>
        <v>12</v>
      </c>
      <c r="N39" s="47">
        <f>IF(K39&gt;0,(M39/J39)*K39*1.15,0)</f>
        <v>0</v>
      </c>
      <c r="O39" s="47">
        <f t="shared" si="12"/>
        <v>0</v>
      </c>
    </row>
    <row r="40" spans="1:15" ht="14.25">
      <c r="A40" s="27" t="str">
        <f>A13</f>
        <v>  + Disc</v>
      </c>
      <c r="B40" s="27"/>
      <c r="C40" s="142">
        <v>0.02</v>
      </c>
      <c r="D40" s="46">
        <f t="shared" si="7"/>
        <v>123</v>
      </c>
      <c r="E40" s="60">
        <f t="shared" si="8"/>
        <v>1.23</v>
      </c>
      <c r="F40" s="52">
        <v>0</v>
      </c>
      <c r="G40" s="61">
        <v>0</v>
      </c>
      <c r="H40" s="60">
        <f t="shared" si="13"/>
        <v>0</v>
      </c>
      <c r="I40" s="60">
        <f t="shared" si="9"/>
        <v>1.23</v>
      </c>
      <c r="J40" s="27">
        <f t="shared" si="10"/>
        <v>5.4</v>
      </c>
      <c r="K40" s="40">
        <f t="shared" si="11"/>
        <v>0</v>
      </c>
      <c r="L40" s="47">
        <f t="shared" si="14"/>
        <v>0</v>
      </c>
      <c r="M40" s="62"/>
      <c r="N40" s="62"/>
      <c r="O40" s="47">
        <f t="shared" si="12"/>
        <v>0</v>
      </c>
    </row>
    <row r="41" spans="1:15" ht="14.25">
      <c r="A41" s="27" t="str">
        <f>A14</f>
        <v>  Tractor, HP=</v>
      </c>
      <c r="B41" s="27">
        <f>B14</f>
        <v>35</v>
      </c>
      <c r="C41" s="142">
        <v>0.02</v>
      </c>
      <c r="D41" s="46">
        <f t="shared" si="7"/>
        <v>381.5</v>
      </c>
      <c r="E41" s="60">
        <f t="shared" si="8"/>
        <v>0.763</v>
      </c>
      <c r="F41" s="52">
        <f>B41*0.044</f>
        <v>1.5399999999999998</v>
      </c>
      <c r="G41" s="61">
        <f>$G$36</f>
        <v>3.45</v>
      </c>
      <c r="H41" s="60">
        <f t="shared" si="13"/>
        <v>6.1099499999999995</v>
      </c>
      <c r="I41" s="60">
        <f t="shared" si="9"/>
        <v>6.8729499999999994</v>
      </c>
      <c r="J41" s="27">
        <f t="shared" si="10"/>
        <v>5.4</v>
      </c>
      <c r="K41" s="40">
        <f t="shared" si="11"/>
        <v>0</v>
      </c>
      <c r="L41" s="47">
        <f t="shared" si="14"/>
        <v>0</v>
      </c>
      <c r="M41" s="49">
        <f>$M$36</f>
        <v>12</v>
      </c>
      <c r="N41" s="47">
        <f>IF(K41&gt;0,(M41/J41)*K41*1.15,0)</f>
        <v>0</v>
      </c>
      <c r="O41" s="47">
        <f t="shared" si="12"/>
        <v>0</v>
      </c>
    </row>
    <row r="42" spans="1:15" ht="14.25">
      <c r="A42" s="27" t="str">
        <f>A15</f>
        <v>  + Harrow</v>
      </c>
      <c r="B42" s="27"/>
      <c r="C42" s="142">
        <v>0.03</v>
      </c>
      <c r="D42" s="46">
        <f t="shared" si="7"/>
        <v>45</v>
      </c>
      <c r="E42" s="60">
        <f t="shared" si="8"/>
        <v>0.45</v>
      </c>
      <c r="F42" s="52">
        <v>0</v>
      </c>
      <c r="G42" s="61">
        <v>0</v>
      </c>
      <c r="H42" s="60">
        <f t="shared" si="13"/>
        <v>0</v>
      </c>
      <c r="I42" s="60">
        <f t="shared" si="9"/>
        <v>0.45</v>
      </c>
      <c r="J42" s="27">
        <f t="shared" si="10"/>
        <v>5.4</v>
      </c>
      <c r="K42" s="40">
        <f t="shared" si="11"/>
        <v>0</v>
      </c>
      <c r="L42" s="47">
        <f t="shared" si="14"/>
        <v>0</v>
      </c>
      <c r="M42" s="62"/>
      <c r="N42" s="62"/>
      <c r="O42" s="47">
        <f t="shared" si="12"/>
        <v>0</v>
      </c>
    </row>
    <row r="43" spans="1:15" ht="14.25">
      <c r="A43" s="27" t="str">
        <f>A17</f>
        <v>  Tractor, HP=</v>
      </c>
      <c r="B43" s="27">
        <f>B17</f>
        <v>35</v>
      </c>
      <c r="C43" s="142">
        <v>0.02</v>
      </c>
      <c r="D43" s="46">
        <f>D17*C43</f>
        <v>381.5</v>
      </c>
      <c r="E43" s="60">
        <f>IF(D43&gt;0,D43/J17,0)</f>
        <v>0.763</v>
      </c>
      <c r="F43" s="52">
        <f>B43*0.044</f>
        <v>1.5399999999999998</v>
      </c>
      <c r="G43" s="61">
        <f>$G$36</f>
        <v>3.45</v>
      </c>
      <c r="H43" s="60">
        <f t="shared" si="13"/>
        <v>6.1099499999999995</v>
      </c>
      <c r="I43" s="60">
        <f t="shared" si="9"/>
        <v>6.8729499999999994</v>
      </c>
      <c r="J43" s="27">
        <f>L17</f>
        <v>11.1</v>
      </c>
      <c r="K43" s="40">
        <f>N17</f>
        <v>1</v>
      </c>
      <c r="L43" s="47">
        <f t="shared" si="14"/>
        <v>0.6811031531531532</v>
      </c>
      <c r="M43" s="49">
        <f>$M$36</f>
        <v>12</v>
      </c>
      <c r="N43" s="47">
        <f>IF(K43&gt;0,(M43/J43)*K43*1.15,0)</f>
        <v>1.2432432432432432</v>
      </c>
      <c r="O43" s="47">
        <f t="shared" si="12"/>
        <v>1.9243463963963965</v>
      </c>
    </row>
    <row r="44" spans="1:15" ht="14.25">
      <c r="A44" s="27" t="str">
        <f>A18</f>
        <v>  + Sprayer</v>
      </c>
      <c r="B44" s="27"/>
      <c r="C44" s="142">
        <v>0.03</v>
      </c>
      <c r="D44" s="46">
        <f>D18*C44</f>
        <v>70.5</v>
      </c>
      <c r="E44" s="60">
        <f>IF(D44&gt;0,D44/J18,0)</f>
        <v>0.88125</v>
      </c>
      <c r="F44" s="52">
        <v>0</v>
      </c>
      <c r="G44" s="61">
        <v>0</v>
      </c>
      <c r="H44" s="60">
        <f t="shared" si="13"/>
        <v>0</v>
      </c>
      <c r="I44" s="60">
        <f t="shared" si="9"/>
        <v>0.88125</v>
      </c>
      <c r="J44" s="27">
        <f>L18</f>
        <v>11.1</v>
      </c>
      <c r="K44" s="40">
        <f>N18</f>
        <v>1</v>
      </c>
      <c r="L44" s="47">
        <f t="shared" si="14"/>
        <v>0.08733108108108108</v>
      </c>
      <c r="M44" s="62"/>
      <c r="N44" s="62"/>
      <c r="O44" s="47">
        <f t="shared" si="12"/>
        <v>0.08733108108108108</v>
      </c>
    </row>
    <row r="45" spans="1:15" ht="14.25">
      <c r="A45" s="27" t="str">
        <f>A20</f>
        <v>  Tractor, HP=</v>
      </c>
      <c r="B45" s="27">
        <f>B20</f>
        <v>55</v>
      </c>
      <c r="C45" s="142">
        <v>0.02</v>
      </c>
      <c r="D45" s="46">
        <f>D20*C45</f>
        <v>463</v>
      </c>
      <c r="E45" s="60">
        <f>IF(D45&gt;0,D45/J20,0)</f>
        <v>0.926</v>
      </c>
      <c r="F45" s="52">
        <f>B45*0.044</f>
        <v>2.42</v>
      </c>
      <c r="G45" s="61">
        <f>$G$36</f>
        <v>3.45</v>
      </c>
      <c r="H45" s="60">
        <f t="shared" si="13"/>
        <v>9.60135</v>
      </c>
      <c r="I45" s="60">
        <f t="shared" si="9"/>
        <v>10.52735</v>
      </c>
      <c r="J45" s="27">
        <f>L20</f>
        <v>3.8</v>
      </c>
      <c r="K45" s="40">
        <f>N20</f>
        <v>1</v>
      </c>
      <c r="L45" s="47">
        <f t="shared" si="14"/>
        <v>3.0473907894736847</v>
      </c>
      <c r="M45" s="49">
        <f>$M$36</f>
        <v>12</v>
      </c>
      <c r="N45" s="47">
        <f>IF(K45&gt;0,(M45/J45)*K45*1.15,0)</f>
        <v>3.631578947368421</v>
      </c>
      <c r="O45" s="47">
        <f t="shared" si="12"/>
        <v>6.678969736842106</v>
      </c>
    </row>
    <row r="46" spans="1:15" ht="14.25">
      <c r="A46" s="27" t="str">
        <f>A21</f>
        <v>  + No-till Drill</v>
      </c>
      <c r="B46" s="27"/>
      <c r="C46" s="142">
        <v>0.01</v>
      </c>
      <c r="D46" s="46">
        <f>D21*C46</f>
        <v>158.5</v>
      </c>
      <c r="E46" s="60">
        <f>IF(D46&gt;0,D46/J21,0)</f>
        <v>1.585</v>
      </c>
      <c r="F46" s="52">
        <v>0</v>
      </c>
      <c r="G46" s="61">
        <v>0</v>
      </c>
      <c r="H46" s="60">
        <f t="shared" si="13"/>
        <v>0</v>
      </c>
      <c r="I46" s="60">
        <f t="shared" si="9"/>
        <v>1.585</v>
      </c>
      <c r="J46" s="27">
        <f>L21</f>
        <v>3.8</v>
      </c>
      <c r="K46" s="40">
        <f>N21</f>
        <v>1</v>
      </c>
      <c r="L46" s="47">
        <f t="shared" si="14"/>
        <v>0.4588157894736843</v>
      </c>
      <c r="M46" s="62"/>
      <c r="N46" s="62"/>
      <c r="O46" s="47">
        <f t="shared" si="12"/>
        <v>0.4588157894736843</v>
      </c>
    </row>
    <row r="47" spans="1:15" ht="14.25">
      <c r="A47" s="53" t="str">
        <f>A23</f>
        <v>  Pickup Truck, 3/4 Ton</v>
      </c>
      <c r="B47" s="53"/>
      <c r="C47" s="142">
        <v>0.02</v>
      </c>
      <c r="D47" s="46">
        <f>D23*C47</f>
        <v>604.5</v>
      </c>
      <c r="E47" s="60">
        <f>IF(D47&gt;0,D47/J23,0)</f>
        <v>1.209</v>
      </c>
      <c r="F47" s="140">
        <v>3</v>
      </c>
      <c r="G47" s="61">
        <f>$G$36</f>
        <v>3.45</v>
      </c>
      <c r="H47" s="60">
        <f t="shared" si="13"/>
        <v>11.9025</v>
      </c>
      <c r="I47" s="60">
        <f t="shared" si="9"/>
        <v>13.1115</v>
      </c>
      <c r="J47" s="27">
        <f>L23</f>
        <v>10</v>
      </c>
      <c r="K47" s="40">
        <f>N23</f>
        <v>4</v>
      </c>
      <c r="L47" s="47">
        <f t="shared" si="14"/>
        <v>5.7690600000000005</v>
      </c>
      <c r="M47" s="49">
        <f>$M$36</f>
        <v>12</v>
      </c>
      <c r="N47" s="47">
        <f>IF(K47&gt;0,(M47/J47)*K47*1.15,0)</f>
        <v>5.52</v>
      </c>
      <c r="O47" s="47">
        <f t="shared" si="12"/>
        <v>11.28906</v>
      </c>
    </row>
    <row r="48" spans="1:15" ht="15">
      <c r="A48" s="105" t="s">
        <v>54</v>
      </c>
      <c r="B48" s="105"/>
      <c r="C48" s="105"/>
      <c r="D48" s="106"/>
      <c r="E48" s="106"/>
      <c r="F48" s="106"/>
      <c r="G48" s="106"/>
      <c r="H48" s="108"/>
      <c r="I48" s="108"/>
      <c r="J48" s="109"/>
      <c r="K48" s="109"/>
      <c r="L48" s="108">
        <f>SUM(L37:L47)</f>
        <v>10.043700813181605</v>
      </c>
      <c r="M48" s="109"/>
      <c r="N48" s="108">
        <f>SUM(N37:N47)</f>
        <v>10.394822190611663</v>
      </c>
      <c r="O48" s="108">
        <f>SUM(O37:O47)</f>
        <v>20.438523003793264</v>
      </c>
    </row>
    <row r="49" spans="1:13" ht="16.5">
      <c r="A49" s="57" t="s">
        <v>95</v>
      </c>
      <c r="B49" s="5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3" ht="16.5">
      <c r="A50" s="57" t="s">
        <v>74</v>
      </c>
      <c r="B50" s="5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3" ht="16.5">
      <c r="A51" s="57" t="s">
        <v>98</v>
      </c>
      <c r="B51" s="5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3" ht="16.5">
      <c r="A52" s="57" t="s">
        <v>99</v>
      </c>
      <c r="B52" s="5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</row>
    <row r="53" spans="1:13" ht="17.25" thickBot="1">
      <c r="A53" s="57" t="s">
        <v>100</v>
      </c>
      <c r="B53" s="5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1:15" ht="15" thickTop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5"/>
      <c r="O54" s="65"/>
    </row>
    <row r="55" spans="1:13" ht="15">
      <c r="A55" s="66" t="s">
        <v>75</v>
      </c>
      <c r="B55" s="6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1:13" ht="14.25" customHeight="1">
      <c r="A56" s="27" t="s">
        <v>80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</row>
    <row r="57" spans="1:13" ht="14.25">
      <c r="A57" s="27" t="s">
        <v>81</v>
      </c>
      <c r="B57" s="27"/>
      <c r="C57" s="27"/>
      <c r="D57" s="27"/>
      <c r="E57" s="27"/>
      <c r="F57" s="27"/>
      <c r="G57" s="27"/>
      <c r="H57" s="27"/>
      <c r="I57" s="27"/>
      <c r="J57" s="27"/>
      <c r="M57" s="27"/>
    </row>
    <row r="58" spans="1:13" ht="14.25">
      <c r="A58" s="27" t="s">
        <v>82</v>
      </c>
      <c r="B58" s="27"/>
      <c r="C58" s="27"/>
      <c r="D58" s="27"/>
      <c r="E58" s="27"/>
      <c r="F58" s="27"/>
      <c r="G58" s="27"/>
      <c r="H58" s="27"/>
      <c r="I58" s="27"/>
      <c r="J58" s="27"/>
      <c r="M58" s="27"/>
    </row>
    <row r="59" spans="1:13" ht="18" customHeight="1">
      <c r="A59" s="27" t="s">
        <v>83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</row>
    <row r="60" spans="1:13" ht="18" customHeight="1">
      <c r="A60" s="27" t="s">
        <v>84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spans="1:13" ht="14.25">
      <c r="A61" s="27" t="s">
        <v>85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1:13" ht="14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1:13" ht="14.25">
      <c r="A63" s="32" t="s">
        <v>166</v>
      </c>
      <c r="B63" s="32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1:13" ht="15">
      <c r="A64" s="27"/>
      <c r="B64" s="27"/>
      <c r="C64" s="27"/>
      <c r="D64" s="172" t="s">
        <v>79</v>
      </c>
      <c r="E64" s="173"/>
      <c r="F64" s="173"/>
      <c r="G64" s="173"/>
      <c r="H64" s="173"/>
      <c r="I64" s="27"/>
      <c r="J64" s="27"/>
      <c r="K64" s="27"/>
      <c r="L64" s="27"/>
      <c r="M64" s="27"/>
    </row>
    <row r="65" spans="1:13" ht="14.25" customHeight="1">
      <c r="A65" s="27"/>
      <c r="B65" s="27"/>
      <c r="C65" s="27"/>
      <c r="D65" s="132">
        <v>5</v>
      </c>
      <c r="E65" s="52"/>
      <c r="F65" s="132">
        <v>10</v>
      </c>
      <c r="G65" s="52"/>
      <c r="H65" s="132">
        <v>20</v>
      </c>
      <c r="I65" s="27"/>
      <c r="J65" s="27"/>
      <c r="K65" s="27"/>
      <c r="L65" s="27"/>
      <c r="M65" s="27"/>
    </row>
    <row r="66" spans="1:13" ht="13.5" customHeight="1">
      <c r="A66" s="27"/>
      <c r="B66" s="27"/>
      <c r="C66" s="27"/>
      <c r="D66" s="40" t="s">
        <v>49</v>
      </c>
      <c r="E66" s="27"/>
      <c r="F66" s="40" t="s">
        <v>49</v>
      </c>
      <c r="G66" s="27"/>
      <c r="H66" s="40" t="s">
        <v>49</v>
      </c>
      <c r="I66" s="27"/>
      <c r="J66" s="27"/>
      <c r="K66" s="27"/>
      <c r="L66" s="27"/>
      <c r="M66" s="27"/>
    </row>
    <row r="67" spans="2:13" ht="14.25">
      <c r="B67" s="174" t="s">
        <v>77</v>
      </c>
      <c r="C67" s="143">
        <v>-0.1</v>
      </c>
      <c r="D67" s="68">
        <f>+('Clover-GrassEtablishBudget87-1'!$E$30-('Clover-GrassEtablishBudget87-1'!$E$25*(1+$C$67)))/D65</f>
        <v>-59.98202057259515</v>
      </c>
      <c r="E67" s="69"/>
      <c r="F67" s="80">
        <f>('Clover-GrassEtablishBudget87-1'!$E$30-('Clover-GrassEtablishBudget87-1'!$E$25*(1+$C$67)))/F65</f>
        <v>-29.991010286297573</v>
      </c>
      <c r="G67" s="69"/>
      <c r="H67" s="70">
        <f>('Clover-GrassEtablishBudget87-1'!$E$30-('Clover-GrassEtablishBudget87-1'!$E$25*(1+$C$67)))/H65</f>
        <v>-14.995505143148787</v>
      </c>
      <c r="I67" s="27"/>
      <c r="J67" s="27"/>
      <c r="K67" s="27"/>
      <c r="L67" s="27"/>
      <c r="M67" s="27"/>
    </row>
    <row r="68" spans="2:13" ht="15" thickBot="1">
      <c r="B68" s="174"/>
      <c r="C68" s="32"/>
      <c r="D68" s="71"/>
      <c r="E68" s="72"/>
      <c r="F68" s="73"/>
      <c r="G68" s="72"/>
      <c r="H68" s="74"/>
      <c r="I68" s="27"/>
      <c r="J68" s="27"/>
      <c r="K68" s="27"/>
      <c r="L68" s="27"/>
      <c r="M68" s="27"/>
    </row>
    <row r="69" spans="2:13" ht="15.75" thickBot="1" thickTop="1">
      <c r="B69" s="174"/>
      <c r="C69" s="75" t="s">
        <v>76</v>
      </c>
      <c r="D69" s="71">
        <f>('Clover-GrassEtablishBudget87-1'!$E$30-'Clover-GrassEtablishBudget87-1'!$E$25)/D65</f>
        <v>-66.64668952510571</v>
      </c>
      <c r="E69" s="72"/>
      <c r="F69" s="84">
        <f>('Clover-GrassEtablishBudget87-1'!$E$30-'Clover-GrassEtablishBudget87-1'!$E$25)/F65</f>
        <v>-33.32334476255286</v>
      </c>
      <c r="G69" s="72"/>
      <c r="H69" s="82">
        <f>('Clover-GrassEtablishBudget87-1'!$E$30-'Clover-GrassEtablishBudget87-1'!$E$25)/H65</f>
        <v>-16.66167238127643</v>
      </c>
      <c r="I69" s="27"/>
      <c r="J69" s="27"/>
      <c r="K69" s="27"/>
      <c r="L69" s="27"/>
      <c r="M69" s="27"/>
    </row>
    <row r="70" spans="2:13" ht="15" thickTop="1">
      <c r="B70" s="174"/>
      <c r="C70" s="32"/>
      <c r="D70" s="71"/>
      <c r="E70" s="72"/>
      <c r="F70" s="73"/>
      <c r="G70" s="72"/>
      <c r="H70" s="74"/>
      <c r="I70" s="27"/>
      <c r="J70" s="27"/>
      <c r="K70" s="27"/>
      <c r="L70" s="27"/>
      <c r="M70" s="27"/>
    </row>
    <row r="71" spans="2:13" ht="14.25">
      <c r="B71" s="174"/>
      <c r="C71" s="144" t="s">
        <v>78</v>
      </c>
      <c r="D71" s="76">
        <f>('Clover-GrassEtablishBudget87-1'!$E$30-('Clover-GrassEtablishBudget87-1'!$E$25*(1+$C$71)))/D65</f>
        <v>-73.3113584776163</v>
      </c>
      <c r="E71" s="77"/>
      <c r="F71" s="81">
        <f>('Clover-GrassEtablishBudget87-1'!$E$30-('Clover-GrassEtablishBudget87-1'!$E$25*(1+$C$71)))/F65</f>
        <v>-36.65567923880815</v>
      </c>
      <c r="G71" s="77"/>
      <c r="H71" s="83">
        <f>('Clover-GrassEtablishBudget87-1'!$E$30-('Clover-GrassEtablishBudget87-1'!$E$25*(1+$C$71)))/H65</f>
        <v>-18.327839619404074</v>
      </c>
      <c r="I71" s="27"/>
      <c r="J71" s="27"/>
      <c r="K71" s="27"/>
      <c r="L71" s="27"/>
      <c r="M71" s="27"/>
    </row>
    <row r="72" spans="1:13" ht="14.25">
      <c r="A72" s="32"/>
      <c r="B72" s="32"/>
      <c r="C72" s="32"/>
      <c r="D72" s="32"/>
      <c r="E72" s="32"/>
      <c r="F72" s="73"/>
      <c r="G72" s="32"/>
      <c r="H72" s="32"/>
      <c r="I72" s="32"/>
      <c r="J72" s="32"/>
      <c r="K72" s="32"/>
      <c r="L72" s="32"/>
      <c r="M72" s="27"/>
    </row>
    <row r="73" spans="1:13" ht="14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27"/>
    </row>
    <row r="74" spans="1:13" ht="14.25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27"/>
    </row>
    <row r="75" ht="14.25">
      <c r="M75" s="27"/>
    </row>
  </sheetData>
  <sheetProtection sheet="1" selectLockedCells="1"/>
  <mergeCells count="2">
    <mergeCell ref="D64:H64"/>
    <mergeCell ref="B67:B71"/>
  </mergeCells>
  <printOptions horizontalCentered="1"/>
  <pageMargins left="0.61" right="0.48" top="0.63" bottom="0.62" header="0.5" footer="0.5"/>
  <pageSetup horizontalDpi="1200" verticalDpi="12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zoomScale="80" zoomScaleNormal="80" zoomScalePageLayoutView="0" workbookViewId="0" topLeftCell="A1">
      <selection activeCell="A6" sqref="A6"/>
    </sheetView>
  </sheetViews>
  <sheetFormatPr defaultColWidth="9.00390625" defaultRowHeight="14.25"/>
  <cols>
    <col min="1" max="1" width="36.375" style="0" customWidth="1"/>
    <col min="2" max="2" width="9.375" style="0" customWidth="1"/>
    <col min="5" max="5" width="10.00390625" style="0" customWidth="1"/>
    <col min="6" max="6" width="12.50390625" style="0" customWidth="1"/>
  </cols>
  <sheetData>
    <row r="1" spans="1:6" ht="24.75" customHeight="1">
      <c r="A1" s="166"/>
      <c r="B1" s="166"/>
      <c r="C1" s="167"/>
      <c r="D1" s="168"/>
      <c r="E1" s="166"/>
      <c r="F1" s="166"/>
    </row>
    <row r="2" spans="1:6" ht="19.5" customHeight="1">
      <c r="A2" s="123" t="s">
        <v>152</v>
      </c>
      <c r="B2" s="104"/>
      <c r="C2" s="104"/>
      <c r="D2" s="104"/>
      <c r="E2" s="104"/>
      <c r="F2" s="117" t="s">
        <v>142</v>
      </c>
    </row>
    <row r="3" spans="1:6" ht="15">
      <c r="A3" s="161" t="s">
        <v>128</v>
      </c>
      <c r="B3" s="161"/>
      <c r="C3" s="161"/>
      <c r="D3" s="161"/>
      <c r="E3" s="161"/>
      <c r="F3" s="171">
        <v>41426</v>
      </c>
    </row>
    <row r="4" spans="1:6" ht="14.25">
      <c r="A4" s="2" t="s">
        <v>0</v>
      </c>
      <c r="B4" s="3" t="s">
        <v>1</v>
      </c>
      <c r="C4" s="4" t="s">
        <v>2</v>
      </c>
      <c r="D4" s="3" t="s">
        <v>3</v>
      </c>
      <c r="E4" s="5" t="s">
        <v>4</v>
      </c>
      <c r="F4" s="3" t="s">
        <v>158</v>
      </c>
    </row>
    <row r="5" spans="1:6" ht="14.25">
      <c r="A5" s="2" t="s">
        <v>5</v>
      </c>
      <c r="B5" s="6"/>
      <c r="C5" s="7"/>
      <c r="D5" s="8"/>
      <c r="E5" s="15"/>
      <c r="F5" s="7"/>
    </row>
    <row r="6" spans="1:6" ht="14.25">
      <c r="A6" s="145" t="s">
        <v>154</v>
      </c>
      <c r="B6" s="146" t="s">
        <v>6</v>
      </c>
      <c r="C6" s="147">
        <v>50</v>
      </c>
      <c r="D6" s="148">
        <v>0.2</v>
      </c>
      <c r="E6" s="124">
        <f aca="true" t="shared" si="0" ref="E6:E11">C6*D6</f>
        <v>10</v>
      </c>
      <c r="F6" s="7"/>
    </row>
    <row r="7" spans="1:6" ht="14.25">
      <c r="A7" s="145" t="s">
        <v>162</v>
      </c>
      <c r="B7" s="146" t="s">
        <v>11</v>
      </c>
      <c r="C7" s="147">
        <v>32.6</v>
      </c>
      <c r="D7" s="148">
        <v>2.22</v>
      </c>
      <c r="E7" s="20">
        <f t="shared" si="0"/>
        <v>72.37200000000001</v>
      </c>
      <c r="F7" s="7"/>
    </row>
    <row r="8" spans="1:6" ht="14.25">
      <c r="A8" s="145" t="s">
        <v>10</v>
      </c>
      <c r="B8" s="146" t="s">
        <v>9</v>
      </c>
      <c r="C8" s="147">
        <v>7</v>
      </c>
      <c r="D8" s="148">
        <v>1</v>
      </c>
      <c r="E8" s="15">
        <f t="shared" si="0"/>
        <v>7</v>
      </c>
      <c r="F8" s="7"/>
    </row>
    <row r="9" spans="1:6" ht="14.25">
      <c r="A9" s="145" t="s">
        <v>12</v>
      </c>
      <c r="B9" s="146"/>
      <c r="C9" s="147"/>
      <c r="D9" s="148"/>
      <c r="E9" s="15">
        <f t="shared" si="0"/>
        <v>0</v>
      </c>
      <c r="F9" s="7"/>
    </row>
    <row r="10" spans="1:6" ht="14.25">
      <c r="A10" s="145" t="s">
        <v>12</v>
      </c>
      <c r="B10" s="146"/>
      <c r="C10" s="147"/>
      <c r="D10" s="148"/>
      <c r="E10" s="15">
        <f t="shared" si="0"/>
        <v>0</v>
      </c>
      <c r="F10" s="7"/>
    </row>
    <row r="11" spans="1:6" ht="14.25">
      <c r="A11" s="145" t="s">
        <v>12</v>
      </c>
      <c r="B11" s="146"/>
      <c r="C11" s="147"/>
      <c r="D11" s="148"/>
      <c r="E11" s="15">
        <f t="shared" si="0"/>
        <v>0</v>
      </c>
      <c r="F11" s="7"/>
    </row>
    <row r="12" spans="1:6" ht="14.25">
      <c r="A12" s="7" t="s">
        <v>86</v>
      </c>
      <c r="B12" s="6"/>
      <c r="C12" s="107"/>
      <c r="D12" s="21"/>
      <c r="E12" s="20">
        <f>'Clover-GrassAnnualFixCost87-2'!N36</f>
        <v>12.979459459459457</v>
      </c>
      <c r="F12" s="7"/>
    </row>
    <row r="13" spans="1:6" ht="14.25">
      <c r="A13" s="145" t="s">
        <v>25</v>
      </c>
      <c r="B13" s="146" t="s">
        <v>13</v>
      </c>
      <c r="C13" s="147">
        <v>12</v>
      </c>
      <c r="D13" s="148">
        <v>0</v>
      </c>
      <c r="E13" s="20">
        <f>C13*D13</f>
        <v>0</v>
      </c>
      <c r="F13" s="7"/>
    </row>
    <row r="14" spans="1:6" ht="14.25">
      <c r="A14" s="7" t="s">
        <v>89</v>
      </c>
      <c r="B14" s="6" t="s">
        <v>9</v>
      </c>
      <c r="C14" s="107"/>
      <c r="D14" s="21"/>
      <c r="E14" s="20">
        <f>'Clover-GrassAnnualFixCost87-2'!L36</f>
        <v>11.732483783783785</v>
      </c>
      <c r="F14" s="7"/>
    </row>
    <row r="15" spans="1:6" ht="14.25">
      <c r="A15" s="7" t="s">
        <v>131</v>
      </c>
      <c r="B15" s="6" t="s">
        <v>26</v>
      </c>
      <c r="C15" s="149">
        <v>0.05</v>
      </c>
      <c r="D15" s="22">
        <f>SUM(E6:E14)*(5/12)</f>
        <v>47.53497635135136</v>
      </c>
      <c r="E15" s="15">
        <f>C15*D15</f>
        <v>2.376748817567568</v>
      </c>
      <c r="F15" s="7"/>
    </row>
    <row r="16" spans="1:6" ht="19.5" customHeight="1">
      <c r="A16" s="2" t="s">
        <v>14</v>
      </c>
      <c r="B16" s="6"/>
      <c r="C16" s="7"/>
      <c r="D16" s="21"/>
      <c r="E16" s="93">
        <f>SUM(E6:E15)</f>
        <v>116.46069206081083</v>
      </c>
      <c r="F16" s="7"/>
    </row>
    <row r="17" spans="1:6" ht="6.75" customHeight="1">
      <c r="A17" s="118"/>
      <c r="B17" s="11"/>
      <c r="C17" s="11"/>
      <c r="D17" s="11"/>
      <c r="E17" s="23"/>
      <c r="F17" s="12"/>
    </row>
    <row r="18" spans="1:6" ht="14.25" customHeight="1">
      <c r="A18" s="7"/>
      <c r="B18" s="7"/>
      <c r="C18" s="3"/>
      <c r="D18" s="5" t="s">
        <v>15</v>
      </c>
      <c r="E18" s="24" t="s">
        <v>4</v>
      </c>
      <c r="F18" s="3"/>
    </row>
    <row r="19" spans="1:6" ht="13.5" customHeight="1">
      <c r="A19" s="7" t="s">
        <v>16</v>
      </c>
      <c r="B19" s="7"/>
      <c r="C19" s="13"/>
      <c r="D19" s="9"/>
      <c r="E19" s="15"/>
      <c r="F19" s="7"/>
    </row>
    <row r="20" spans="1:6" ht="14.25">
      <c r="A20" s="7" t="s">
        <v>109</v>
      </c>
      <c r="B20" s="7"/>
      <c r="C20" s="13"/>
      <c r="D20" s="9"/>
      <c r="E20" s="15"/>
      <c r="F20" s="7"/>
    </row>
    <row r="21" spans="1:6" ht="14.25">
      <c r="A21" s="7" t="s">
        <v>108</v>
      </c>
      <c r="B21" s="7"/>
      <c r="C21" s="13"/>
      <c r="D21" s="9"/>
      <c r="E21" s="20">
        <f>'Clover-GrassAnnualFixCost87-2'!O17-'Clover-GrassAnnualFixCost87-2'!O15-'Clover-GrassAnnualFixCost87-2'!O16</f>
        <v>8.088958140540546</v>
      </c>
      <c r="F21" s="7"/>
    </row>
    <row r="22" spans="1:6" ht="14.25">
      <c r="A22" s="7" t="s">
        <v>107</v>
      </c>
      <c r="B22" s="7"/>
      <c r="C22" s="13"/>
      <c r="D22" s="9"/>
      <c r="F22" s="7"/>
    </row>
    <row r="23" spans="1:6" ht="14.25">
      <c r="A23" s="7" t="s">
        <v>106</v>
      </c>
      <c r="B23" s="7"/>
      <c r="C23" s="13"/>
      <c r="D23" s="9"/>
      <c r="E23" s="20">
        <f>('Clover-GrassAnnualFixCost87-2'!O15+'Clover-GrassAnnualFixCost87-2'!O16)</f>
        <v>78.37752571574393</v>
      </c>
      <c r="F23" s="7"/>
    </row>
    <row r="24" spans="1:6" ht="14.25">
      <c r="A24" s="2" t="s">
        <v>105</v>
      </c>
      <c r="B24" s="7"/>
      <c r="C24" s="9"/>
      <c r="D24" s="7"/>
      <c r="E24" s="93">
        <f>E21+E23</f>
        <v>86.46648385628447</v>
      </c>
      <c r="F24" s="7"/>
    </row>
    <row r="25" spans="1:6" ht="19.5" customHeight="1">
      <c r="A25" s="2" t="s">
        <v>17</v>
      </c>
      <c r="B25" s="7"/>
      <c r="C25" s="9"/>
      <c r="D25" s="7"/>
      <c r="E25" s="93">
        <f>E16+E24</f>
        <v>202.9271759170953</v>
      </c>
      <c r="F25" s="7"/>
    </row>
    <row r="26" spans="1:6" ht="6.75" customHeight="1">
      <c r="A26" s="118"/>
      <c r="B26" s="11"/>
      <c r="C26" s="11"/>
      <c r="D26" s="11"/>
      <c r="E26" s="11"/>
      <c r="F26" s="14"/>
    </row>
    <row r="27" spans="1:6" ht="13.5" customHeight="1">
      <c r="A27" s="7"/>
      <c r="B27" s="3" t="s">
        <v>1</v>
      </c>
      <c r="C27" s="4" t="s">
        <v>124</v>
      </c>
      <c r="D27" s="3" t="s">
        <v>3</v>
      </c>
      <c r="E27" s="5" t="s">
        <v>4</v>
      </c>
      <c r="F27" s="3"/>
    </row>
    <row r="28" spans="1:6" ht="14.25">
      <c r="A28" s="7" t="s">
        <v>18</v>
      </c>
      <c r="B28" s="7"/>
      <c r="C28" s="7"/>
      <c r="D28" s="7"/>
      <c r="E28" s="7"/>
      <c r="F28" s="7"/>
    </row>
    <row r="29" spans="1:6" ht="14.25">
      <c r="A29" s="145" t="s">
        <v>19</v>
      </c>
      <c r="B29" s="146" t="s">
        <v>6</v>
      </c>
      <c r="C29" s="150">
        <v>0</v>
      </c>
      <c r="D29" s="148">
        <v>3</v>
      </c>
      <c r="E29" s="15">
        <f>C29*D29</f>
        <v>0</v>
      </c>
      <c r="F29" s="7"/>
    </row>
    <row r="30" spans="1:6" ht="19.5" customHeight="1">
      <c r="A30" s="2" t="s">
        <v>20</v>
      </c>
      <c r="B30" s="7"/>
      <c r="C30" s="7"/>
      <c r="D30" s="7"/>
      <c r="E30" s="93">
        <f>E29</f>
        <v>0</v>
      </c>
      <c r="F30" s="7"/>
    </row>
    <row r="31" spans="1:6" ht="6" customHeight="1">
      <c r="A31" s="16"/>
      <c r="B31" s="16"/>
      <c r="C31" s="16"/>
      <c r="D31" s="16"/>
      <c r="E31" s="25"/>
      <c r="F31" s="16"/>
    </row>
    <row r="32" spans="1:6" ht="19.5" customHeight="1">
      <c r="A32" s="2" t="s">
        <v>21</v>
      </c>
      <c r="B32" s="7"/>
      <c r="C32" s="7"/>
      <c r="D32" s="7"/>
      <c r="E32" s="93">
        <f>E30-E16</f>
        <v>-116.46069206081083</v>
      </c>
      <c r="F32" s="7"/>
    </row>
    <row r="33" spans="1:6" ht="18.75" customHeight="1">
      <c r="A33" s="2" t="s">
        <v>126</v>
      </c>
      <c r="B33" s="7"/>
      <c r="C33" s="7"/>
      <c r="D33" s="7"/>
      <c r="E33" s="93">
        <f>E30-E25</f>
        <v>-202.9271759170953</v>
      </c>
      <c r="F33" s="7"/>
    </row>
    <row r="34" spans="1:6" ht="19.5" customHeight="1">
      <c r="A34" s="2" t="s">
        <v>127</v>
      </c>
      <c r="B34" s="7"/>
      <c r="C34" s="7"/>
      <c r="D34" s="7"/>
      <c r="E34" s="93">
        <f>E25/D29</f>
        <v>67.6423919723651</v>
      </c>
      <c r="F34" s="7"/>
    </row>
    <row r="35" spans="1:6" ht="18" customHeight="1">
      <c r="A35" s="19" t="s">
        <v>123</v>
      </c>
      <c r="B35" s="17"/>
      <c r="C35" s="17"/>
      <c r="D35" s="17"/>
      <c r="E35" s="18"/>
      <c r="F35" s="17"/>
    </row>
    <row r="36" spans="1:6" ht="18" customHeight="1">
      <c r="A36" s="19" t="s">
        <v>133</v>
      </c>
      <c r="B36" s="17"/>
      <c r="C36" s="17"/>
      <c r="D36" s="17"/>
      <c r="F36" s="17"/>
    </row>
    <row r="37" spans="1:6" ht="18" customHeight="1">
      <c r="A37" s="19" t="s">
        <v>134</v>
      </c>
      <c r="B37" s="17"/>
      <c r="C37" s="17"/>
      <c r="D37" s="17"/>
      <c r="E37" s="94"/>
      <c r="F37" s="17"/>
    </row>
    <row r="38" spans="1:6" ht="18" customHeight="1">
      <c r="A38" s="19" t="s">
        <v>164</v>
      </c>
      <c r="B38" s="17"/>
      <c r="C38" s="17"/>
      <c r="D38" s="17"/>
      <c r="E38" s="18"/>
      <c r="F38" s="17"/>
    </row>
    <row r="39" spans="2:6" ht="14.25">
      <c r="B39" s="17"/>
      <c r="C39" s="17"/>
      <c r="D39" s="17"/>
      <c r="E39" s="18"/>
      <c r="F39" s="17"/>
    </row>
    <row r="40" spans="1:6" ht="14.25">
      <c r="A40" t="s">
        <v>23</v>
      </c>
      <c r="B40" s="17"/>
      <c r="C40" s="17"/>
      <c r="D40" s="17"/>
      <c r="E40" s="18"/>
      <c r="F40" s="17"/>
    </row>
    <row r="41" spans="1:6" ht="14.25">
      <c r="A41" s="17" t="s">
        <v>135</v>
      </c>
      <c r="B41" s="17"/>
      <c r="C41" s="17"/>
      <c r="D41" s="17"/>
      <c r="E41" s="18"/>
      <c r="F41" s="17"/>
    </row>
    <row r="42" spans="1:6" ht="14.25">
      <c r="A42" s="17" t="s">
        <v>104</v>
      </c>
      <c r="B42" s="17"/>
      <c r="C42" s="17"/>
      <c r="D42" s="17"/>
      <c r="E42" s="18"/>
      <c r="F42" s="17"/>
    </row>
    <row r="43" spans="1:6" ht="14.25">
      <c r="A43" s="17" t="s">
        <v>149</v>
      </c>
      <c r="B43" s="17"/>
      <c r="C43" s="17"/>
      <c r="D43" s="17"/>
      <c r="E43" s="18"/>
      <c r="F43" s="17"/>
    </row>
    <row r="44" spans="2:6" ht="14.25">
      <c r="B44" s="17"/>
      <c r="C44" s="17"/>
      <c r="D44" s="17"/>
      <c r="E44" s="18"/>
      <c r="F44" s="17"/>
    </row>
    <row r="45" spans="1:6" ht="14.25">
      <c r="A45" s="17" t="s">
        <v>22</v>
      </c>
      <c r="B45" s="17"/>
      <c r="C45" s="17"/>
      <c r="D45" s="17"/>
      <c r="E45" s="18"/>
      <c r="F45" s="17"/>
    </row>
    <row r="46" spans="1:6" ht="14.25">
      <c r="A46" s="17" t="s">
        <v>161</v>
      </c>
      <c r="B46" s="17"/>
      <c r="C46" s="17"/>
      <c r="D46" s="17"/>
      <c r="E46" s="18"/>
      <c r="F46" s="17"/>
    </row>
    <row r="47" spans="1:6" ht="14.25">
      <c r="A47" s="17" t="s">
        <v>165</v>
      </c>
      <c r="B47" s="17"/>
      <c r="C47" s="17"/>
      <c r="D47" s="17"/>
      <c r="E47" s="18"/>
      <c r="F47" s="17"/>
    </row>
  </sheetData>
  <sheetProtection sheet="1" selectLockedCells="1"/>
  <printOptions horizontalCentered="1"/>
  <pageMargins left="0.75" right="0.65" top="0.85" bottom="0.7" header="0.5" footer="0.5"/>
  <pageSetup horizontalDpi="1200" verticalDpi="12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zoomScale="70" zoomScaleNormal="70" zoomScalePageLayoutView="0" workbookViewId="0" topLeftCell="A1">
      <selection activeCell="G7" sqref="G7"/>
    </sheetView>
  </sheetViews>
  <sheetFormatPr defaultColWidth="9.00390625" defaultRowHeight="14.25"/>
  <cols>
    <col min="1" max="1" width="20.75390625" style="0" customWidth="1"/>
    <col min="2" max="2" width="5.00390625" style="0" customWidth="1"/>
    <col min="3" max="3" width="9.625" style="0" customWidth="1"/>
    <col min="4" max="4" width="9.875" style="0" customWidth="1"/>
    <col min="5" max="5" width="9.375" style="0" customWidth="1"/>
    <col min="7" max="7" width="9.375" style="0" customWidth="1"/>
    <col min="10" max="10" width="9.375" style="0" customWidth="1"/>
    <col min="11" max="11" width="9.625" style="0" customWidth="1"/>
    <col min="12" max="12" width="10.625" style="0" customWidth="1"/>
    <col min="13" max="13" width="10.25390625" style="0" customWidth="1"/>
    <col min="15" max="15" width="11.75390625" style="0" customWidth="1"/>
  </cols>
  <sheetData>
    <row r="1" spans="1:15" ht="18" customHeight="1">
      <c r="A1" s="79" t="str">
        <f>'Clover-GrassAnnualBudget87-2'!A2</f>
        <v>Ladino Clover-Cool Season Grass for pasture: Estimated annual revenue,</v>
      </c>
      <c r="B1" s="26"/>
      <c r="C1" s="27"/>
      <c r="D1" s="27"/>
      <c r="E1" s="27"/>
      <c r="F1" s="27"/>
      <c r="G1" s="27"/>
      <c r="H1" s="28"/>
      <c r="I1" s="164"/>
      <c r="J1" s="27"/>
      <c r="K1" s="27"/>
      <c r="L1" s="27"/>
      <c r="O1" s="29" t="str">
        <f>'Clover-GrassAnnualBudget87-2'!F2</f>
        <v>Budget 87-2</v>
      </c>
    </row>
    <row r="2" spans="1:15" ht="14.25">
      <c r="A2" s="27" t="str">
        <f>'Clover-GrassAnnualBudget87-2'!A3</f>
        <v>operating cost, fixed cost and net returns per acre.        </v>
      </c>
      <c r="B2" s="27"/>
      <c r="C2" s="27"/>
      <c r="D2" s="27"/>
      <c r="E2" s="27"/>
      <c r="F2" s="27"/>
      <c r="G2" s="27"/>
      <c r="H2" s="30"/>
      <c r="J2" s="27"/>
      <c r="K2" s="27"/>
      <c r="L2" s="27"/>
      <c r="O2" s="170">
        <f>'Clover-GrassAnnualBudget87-2'!F3</f>
        <v>41426</v>
      </c>
    </row>
    <row r="3" spans="1:13" ht="21" customHeight="1">
      <c r="A3" s="31" t="s">
        <v>28</v>
      </c>
      <c r="B3" s="31"/>
      <c r="C3" s="32"/>
      <c r="D3" s="32"/>
      <c r="E3" s="32"/>
      <c r="F3" s="32"/>
      <c r="G3" s="32"/>
      <c r="H3" s="27"/>
      <c r="I3" s="27"/>
      <c r="J3" s="27"/>
      <c r="K3" s="27"/>
      <c r="L3" s="27"/>
      <c r="M3" s="27"/>
    </row>
    <row r="4" spans="1:15" ht="17.25">
      <c r="A4" s="33" t="s">
        <v>29</v>
      </c>
      <c r="B4" s="34"/>
      <c r="C4" s="34" t="s">
        <v>30</v>
      </c>
      <c r="D4" s="34" t="s">
        <v>31</v>
      </c>
      <c r="E4" s="34" t="s">
        <v>32</v>
      </c>
      <c r="F4" s="35" t="s">
        <v>33</v>
      </c>
      <c r="G4" s="35" t="s">
        <v>34</v>
      </c>
      <c r="H4" s="34" t="s">
        <v>35</v>
      </c>
      <c r="I4" s="34" t="s">
        <v>36</v>
      </c>
      <c r="J4" s="36" t="s">
        <v>36</v>
      </c>
      <c r="K4" s="36" t="s">
        <v>37</v>
      </c>
      <c r="L4" s="36" t="s">
        <v>38</v>
      </c>
      <c r="M4" s="36" t="s">
        <v>39</v>
      </c>
      <c r="N4" s="34" t="s">
        <v>40</v>
      </c>
      <c r="O4" s="36" t="s">
        <v>41</v>
      </c>
    </row>
    <row r="5" spans="1:15" ht="17.25">
      <c r="A5" s="37"/>
      <c r="B5" s="37"/>
      <c r="C5" s="37"/>
      <c r="D5" s="37" t="s">
        <v>42</v>
      </c>
      <c r="E5" s="37" t="s">
        <v>4</v>
      </c>
      <c r="F5" s="38" t="s">
        <v>43</v>
      </c>
      <c r="G5" s="37"/>
      <c r="H5" s="38" t="s">
        <v>44</v>
      </c>
      <c r="I5" s="37" t="s">
        <v>37</v>
      </c>
      <c r="J5" s="39" t="s">
        <v>45</v>
      </c>
      <c r="K5" s="39" t="s">
        <v>46</v>
      </c>
      <c r="L5" s="39" t="s">
        <v>46</v>
      </c>
      <c r="M5" s="39" t="s">
        <v>47</v>
      </c>
      <c r="N5" s="37" t="s">
        <v>48</v>
      </c>
      <c r="O5" s="39" t="s">
        <v>39</v>
      </c>
    </row>
    <row r="6" spans="1:15" ht="14.25">
      <c r="A6" s="32"/>
      <c r="B6" s="32"/>
      <c r="C6" s="40" t="s">
        <v>49</v>
      </c>
      <c r="D6" s="40" t="s">
        <v>26</v>
      </c>
      <c r="E6" s="40" t="s">
        <v>26</v>
      </c>
      <c r="F6" s="40" t="s">
        <v>26</v>
      </c>
      <c r="G6" s="40" t="s">
        <v>26</v>
      </c>
      <c r="H6" s="40" t="s">
        <v>26</v>
      </c>
      <c r="I6" s="40" t="s">
        <v>26</v>
      </c>
      <c r="J6" s="40" t="s">
        <v>13</v>
      </c>
      <c r="K6" s="40" t="s">
        <v>26</v>
      </c>
      <c r="L6" s="40" t="s">
        <v>50</v>
      </c>
      <c r="M6" s="40" t="s">
        <v>26</v>
      </c>
      <c r="N6" s="41" t="s">
        <v>50</v>
      </c>
      <c r="O6" s="40" t="s">
        <v>51</v>
      </c>
    </row>
    <row r="7" spans="1:15" ht="14.25">
      <c r="A7" s="27" t="s">
        <v>91</v>
      </c>
      <c r="B7" s="27"/>
      <c r="C7" s="40"/>
      <c r="D7" s="40"/>
      <c r="E7" s="40"/>
      <c r="F7" s="40"/>
      <c r="G7" s="127">
        <v>0.05</v>
      </c>
      <c r="H7" s="127">
        <v>0.014</v>
      </c>
      <c r="I7" s="42"/>
      <c r="J7" s="27"/>
      <c r="K7" s="27"/>
      <c r="L7" s="27"/>
      <c r="M7" s="27"/>
      <c r="N7" s="27"/>
      <c r="O7" s="27"/>
    </row>
    <row r="8" spans="1:15" ht="14.25">
      <c r="A8" s="27" t="s">
        <v>122</v>
      </c>
      <c r="B8" s="27"/>
      <c r="C8" s="50"/>
      <c r="D8" s="45"/>
      <c r="E8" s="45"/>
      <c r="F8" s="45"/>
      <c r="G8" s="46"/>
      <c r="H8" s="46"/>
      <c r="I8" s="45"/>
      <c r="J8" s="52"/>
      <c r="K8" s="49"/>
      <c r="L8" s="50"/>
      <c r="M8" s="47"/>
      <c r="N8" s="40"/>
      <c r="O8" s="27"/>
    </row>
    <row r="9" spans="1:15" ht="14.25">
      <c r="A9" s="102" t="s">
        <v>121</v>
      </c>
      <c r="B9" s="134">
        <v>55</v>
      </c>
      <c r="C9" s="129">
        <v>10</v>
      </c>
      <c r="D9" s="130">
        <v>23150</v>
      </c>
      <c r="E9" s="159">
        <f>D9*0.31</f>
        <v>7176.5</v>
      </c>
      <c r="F9" s="45">
        <f>+(D9-E9)/C9</f>
        <v>1597.35</v>
      </c>
      <c r="G9" s="46">
        <f>+((D9+E9)/2)*$G$7</f>
        <v>758.1625</v>
      </c>
      <c r="H9" s="46">
        <f>((D9+E9)/2)*$H$7</f>
        <v>212.2855</v>
      </c>
      <c r="I9" s="46">
        <f>SUM(F9:H9)</f>
        <v>2567.798</v>
      </c>
      <c r="J9" s="132">
        <v>500</v>
      </c>
      <c r="K9" s="47">
        <f>IF(J9=0,0,I9/J9)</f>
        <v>5.135596</v>
      </c>
      <c r="L9" s="129">
        <v>3.7</v>
      </c>
      <c r="M9" s="47">
        <f>IF(K9&gt;0,K9/L9,0)</f>
        <v>1.3879989189189188</v>
      </c>
      <c r="N9" s="133">
        <v>2</v>
      </c>
      <c r="O9" s="47">
        <f>M9*N9</f>
        <v>2.7759978378378376</v>
      </c>
    </row>
    <row r="10" spans="1:15" ht="14.25">
      <c r="A10" s="128" t="s">
        <v>120</v>
      </c>
      <c r="B10" s="128"/>
      <c r="C10" s="129">
        <v>10</v>
      </c>
      <c r="D10" s="130">
        <v>4225</v>
      </c>
      <c r="E10" s="159">
        <f>D10*0.3</f>
        <v>1267.5</v>
      </c>
      <c r="F10" s="45">
        <f>+(D10-E10)/C10</f>
        <v>295.75</v>
      </c>
      <c r="G10" s="46">
        <f>+((D10+E10)/2)*$G$7</f>
        <v>137.3125</v>
      </c>
      <c r="H10" s="46">
        <f>((D10+E10)/2)*$H$7</f>
        <v>38.4475</v>
      </c>
      <c r="I10" s="46">
        <f>SUM(F10:H10)</f>
        <v>471.51</v>
      </c>
      <c r="J10" s="132">
        <v>100</v>
      </c>
      <c r="K10" s="47">
        <f>IF(J10=0,0,I10/J10)</f>
        <v>4.7151</v>
      </c>
      <c r="L10" s="50">
        <f>L9</f>
        <v>3.7</v>
      </c>
      <c r="M10" s="47">
        <f>IF(K10&gt;0,K10/L10,0)</f>
        <v>1.2743513513513511</v>
      </c>
      <c r="N10" s="87">
        <f>N9</f>
        <v>2</v>
      </c>
      <c r="O10" s="47">
        <f>M10*N10</f>
        <v>2.5487027027027023</v>
      </c>
    </row>
    <row r="11" spans="1:15" ht="14.25">
      <c r="A11" s="92" t="s">
        <v>90</v>
      </c>
      <c r="B11" s="92"/>
      <c r="C11" s="88"/>
      <c r="D11" s="91"/>
      <c r="E11" s="91"/>
      <c r="F11" s="91"/>
      <c r="G11" s="91"/>
      <c r="H11" s="91"/>
      <c r="I11" s="91"/>
      <c r="J11" s="86"/>
      <c r="K11" s="49"/>
      <c r="L11" s="50"/>
      <c r="M11" s="49"/>
      <c r="N11" s="87"/>
      <c r="O11" s="49"/>
    </row>
    <row r="12" spans="1:15" ht="14.25">
      <c r="A12" s="102" t="s">
        <v>121</v>
      </c>
      <c r="B12" s="134">
        <v>55</v>
      </c>
      <c r="C12" s="129">
        <v>10</v>
      </c>
      <c r="D12" s="130">
        <v>23150</v>
      </c>
      <c r="E12" s="159">
        <f>D12*0.31</f>
        <v>7176.5</v>
      </c>
      <c r="F12" s="45">
        <f>+(D12-E12)/C12</f>
        <v>1597.35</v>
      </c>
      <c r="G12" s="46">
        <f>+((D12+E12)/2)*$G$7</f>
        <v>758.1625</v>
      </c>
      <c r="H12" s="46">
        <f>((D12+E12)/2)*$H$7</f>
        <v>212.2855</v>
      </c>
      <c r="I12" s="46">
        <f>SUM(F12:H12)</f>
        <v>2567.798</v>
      </c>
      <c r="J12" s="132">
        <v>500</v>
      </c>
      <c r="K12" s="47">
        <f>IF(J12=0,0,I12/J12)</f>
        <v>5.135596</v>
      </c>
      <c r="L12" s="129">
        <v>0</v>
      </c>
      <c r="M12" s="47">
        <f>IF(N12&gt;0,K12/L12,0)</f>
        <v>0</v>
      </c>
      <c r="N12" s="133">
        <v>0</v>
      </c>
      <c r="O12" s="47">
        <f>M12*N12</f>
        <v>0</v>
      </c>
    </row>
    <row r="13" spans="1:15" ht="14.25">
      <c r="A13" s="128" t="s">
        <v>157</v>
      </c>
      <c r="B13" s="128"/>
      <c r="C13" s="129">
        <v>10</v>
      </c>
      <c r="D13" s="130">
        <v>0</v>
      </c>
      <c r="E13" s="159">
        <f>D13*0.3</f>
        <v>0</v>
      </c>
      <c r="F13" s="45">
        <f>+(D13-E13)/C13</f>
        <v>0</v>
      </c>
      <c r="G13" s="46">
        <f>+((D13+E13)/2)*$G$7</f>
        <v>0</v>
      </c>
      <c r="H13" s="46">
        <f>((D13+E13)/2)*$H$7</f>
        <v>0</v>
      </c>
      <c r="I13" s="46">
        <f>SUM(F13:H13)</f>
        <v>0</v>
      </c>
      <c r="J13" s="132">
        <v>100</v>
      </c>
      <c r="K13" s="47">
        <f>IF(J13=0,0,I13/J13)</f>
        <v>0</v>
      </c>
      <c r="L13" s="50">
        <f>L12</f>
        <v>0</v>
      </c>
      <c r="M13" s="47">
        <f>IF(N13&gt;0,K13/L13,0)</f>
        <v>0</v>
      </c>
      <c r="N13" s="87">
        <f>N12</f>
        <v>0</v>
      </c>
      <c r="O13" s="47">
        <f>M13*N13</f>
        <v>0</v>
      </c>
    </row>
    <row r="14" spans="1:15" ht="14.25">
      <c r="A14" s="151" t="s">
        <v>93</v>
      </c>
      <c r="B14" s="152"/>
      <c r="C14" s="153">
        <v>10</v>
      </c>
      <c r="D14" s="154">
        <v>30225</v>
      </c>
      <c r="E14" s="158">
        <f>D14*0.26</f>
        <v>7858.5</v>
      </c>
      <c r="F14" s="91">
        <f>+(D14-E14)/C14</f>
        <v>2236.65</v>
      </c>
      <c r="G14" s="46">
        <f>+((D14+E14)/2)*$G$7</f>
        <v>952.0875000000001</v>
      </c>
      <c r="H14" s="175">
        <f>((D14+E14)/2)*$H$7</f>
        <v>266.5845</v>
      </c>
      <c r="I14" s="63">
        <f>SUM(F14:H14)</f>
        <v>3455.322</v>
      </c>
      <c r="J14" s="132">
        <v>500</v>
      </c>
      <c r="K14" s="47">
        <f>IF(J14=0,0,I14/J14)</f>
        <v>6.9106440000000005</v>
      </c>
      <c r="L14" s="129">
        <v>10</v>
      </c>
      <c r="M14" s="47">
        <f>IF(N14&gt;0,K14/L14,0)</f>
        <v>0.6910644</v>
      </c>
      <c r="N14" s="133">
        <v>4</v>
      </c>
      <c r="O14" s="47">
        <f>M14*N14</f>
        <v>2.7642576</v>
      </c>
    </row>
    <row r="15" spans="1:15" ht="15.75" customHeight="1">
      <c r="A15" s="92" t="s">
        <v>119</v>
      </c>
      <c r="B15" s="92"/>
      <c r="C15" s="153">
        <v>5</v>
      </c>
      <c r="D15" s="158">
        <f>ABS('Clover-GrassEtablishBudget87-1'!E33)</f>
        <v>333.2334476255286</v>
      </c>
      <c r="E15" s="154">
        <v>0</v>
      </c>
      <c r="F15" s="91">
        <f>+(D15-E15)/C15</f>
        <v>66.64668952510571</v>
      </c>
      <c r="G15" s="63">
        <f>+((D15+E15)/2)*$G$7</f>
        <v>8.330836190638214</v>
      </c>
      <c r="H15" s="113"/>
      <c r="I15" s="113"/>
      <c r="J15" s="99"/>
      <c r="K15" s="62"/>
      <c r="L15" s="98"/>
      <c r="M15" s="62"/>
      <c r="N15" s="97"/>
      <c r="O15" s="47">
        <f>F15+G15</f>
        <v>74.97752571574392</v>
      </c>
    </row>
    <row r="16" spans="1:15" ht="15.75" customHeight="1">
      <c r="A16" s="101" t="s">
        <v>136</v>
      </c>
      <c r="B16" s="101"/>
      <c r="C16" s="138">
        <v>2.5</v>
      </c>
      <c r="D16" s="163">
        <v>8</v>
      </c>
      <c r="E16" s="139">
        <v>0</v>
      </c>
      <c r="F16" s="89">
        <f>+(D16-E16)/C16</f>
        <v>3.2</v>
      </c>
      <c r="G16" s="90">
        <f>+((D16+E16)/2)*$G$7</f>
        <v>0.2</v>
      </c>
      <c r="H16" s="100"/>
      <c r="I16" s="100"/>
      <c r="J16" s="99"/>
      <c r="K16" s="62"/>
      <c r="L16" s="98"/>
      <c r="M16" s="62"/>
      <c r="N16" s="97"/>
      <c r="O16" s="47">
        <f>F16+G16</f>
        <v>3.4000000000000004</v>
      </c>
    </row>
    <row r="17" spans="1:15" ht="18.75" customHeight="1">
      <c r="A17" s="105" t="s">
        <v>156</v>
      </c>
      <c r="B17" s="105"/>
      <c r="C17" s="105"/>
      <c r="D17" s="106"/>
      <c r="E17" s="106"/>
      <c r="F17" s="106"/>
      <c r="G17" s="106"/>
      <c r="H17" s="106"/>
      <c r="I17" s="106"/>
      <c r="J17" s="106"/>
      <c r="K17" s="111"/>
      <c r="L17" s="106"/>
      <c r="M17" s="112"/>
      <c r="N17" s="112"/>
      <c r="O17" s="108">
        <f>SUM(O9:O16)</f>
        <v>86.46648385628447</v>
      </c>
    </row>
    <row r="18" spans="1:13" ht="16.5">
      <c r="A18" s="55" t="s">
        <v>55</v>
      </c>
      <c r="B18" s="55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6.5">
      <c r="A19" s="56" t="s">
        <v>56</v>
      </c>
      <c r="B19" s="5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6.5">
      <c r="A20" s="56" t="s">
        <v>57</v>
      </c>
      <c r="B20" s="5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6.5">
      <c r="A21" s="57" t="s">
        <v>58</v>
      </c>
      <c r="B21" s="5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16.5">
      <c r="A22" s="57" t="s">
        <v>59</v>
      </c>
      <c r="B22" s="5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16.5">
      <c r="A23" s="57" t="s">
        <v>118</v>
      </c>
      <c r="B23" s="5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18" customHeight="1">
      <c r="A24" s="57" t="s">
        <v>163</v>
      </c>
      <c r="B24" s="5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16.5">
      <c r="A25" s="58"/>
      <c r="B25" s="5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15">
      <c r="A26" s="31" t="s">
        <v>60</v>
      </c>
      <c r="B26" s="31"/>
      <c r="C26" s="32"/>
      <c r="D26" s="32"/>
      <c r="E26" s="32"/>
      <c r="F26" s="32"/>
      <c r="G26" s="32"/>
      <c r="H26" s="27"/>
      <c r="I26" s="27"/>
      <c r="J26" s="27"/>
      <c r="K26" s="27"/>
      <c r="L26" s="27"/>
      <c r="M26" s="27"/>
    </row>
    <row r="27" spans="1:15" ht="15">
      <c r="A27" s="33" t="s">
        <v>29</v>
      </c>
      <c r="B27" s="34"/>
      <c r="C27" s="34" t="s">
        <v>61</v>
      </c>
      <c r="D27" s="34" t="s">
        <v>61</v>
      </c>
      <c r="E27" s="34" t="s">
        <v>61</v>
      </c>
      <c r="F27" s="34" t="s">
        <v>62</v>
      </c>
      <c r="G27" s="34" t="s">
        <v>42</v>
      </c>
      <c r="H27" s="34" t="s">
        <v>96</v>
      </c>
      <c r="I27" s="34" t="s">
        <v>41</v>
      </c>
      <c r="J27" s="36" t="s">
        <v>38</v>
      </c>
      <c r="K27" s="34" t="s">
        <v>40</v>
      </c>
      <c r="L27" s="36" t="s">
        <v>63</v>
      </c>
      <c r="M27" s="36" t="s">
        <v>64</v>
      </c>
      <c r="N27" s="36" t="s">
        <v>64</v>
      </c>
      <c r="O27" s="36" t="s">
        <v>41</v>
      </c>
    </row>
    <row r="28" spans="1:15" ht="17.25">
      <c r="A28" s="37"/>
      <c r="B28" s="37"/>
      <c r="C28" s="38" t="s">
        <v>65</v>
      </c>
      <c r="D28" s="37" t="s">
        <v>66</v>
      </c>
      <c r="E28" s="37" t="s">
        <v>67</v>
      </c>
      <c r="F28" s="37" t="s">
        <v>45</v>
      </c>
      <c r="G28" s="37" t="s">
        <v>68</v>
      </c>
      <c r="H28" s="37" t="s">
        <v>97</v>
      </c>
      <c r="I28" s="37" t="s">
        <v>42</v>
      </c>
      <c r="J28" s="39" t="s">
        <v>46</v>
      </c>
      <c r="K28" s="37" t="s">
        <v>69</v>
      </c>
      <c r="L28" s="39" t="s">
        <v>101</v>
      </c>
      <c r="M28" s="39" t="s">
        <v>42</v>
      </c>
      <c r="N28" s="39" t="s">
        <v>102</v>
      </c>
      <c r="O28" s="39" t="s">
        <v>39</v>
      </c>
    </row>
    <row r="29" spans="1:15" ht="14.25">
      <c r="A29" s="32"/>
      <c r="B29" s="32"/>
      <c r="C29" s="40" t="s">
        <v>70</v>
      </c>
      <c r="D29" s="40" t="s">
        <v>71</v>
      </c>
      <c r="E29" s="40" t="s">
        <v>72</v>
      </c>
      <c r="F29" s="40" t="s">
        <v>73</v>
      </c>
      <c r="G29" s="40" t="s">
        <v>26</v>
      </c>
      <c r="H29" s="40" t="s">
        <v>72</v>
      </c>
      <c r="I29" s="40" t="s">
        <v>72</v>
      </c>
      <c r="J29" s="40" t="s">
        <v>50</v>
      </c>
      <c r="K29" s="41" t="s">
        <v>50</v>
      </c>
      <c r="L29" s="40" t="s">
        <v>51</v>
      </c>
      <c r="M29" s="40" t="s">
        <v>72</v>
      </c>
      <c r="N29" s="40" t="s">
        <v>51</v>
      </c>
      <c r="O29" s="40" t="s">
        <v>51</v>
      </c>
    </row>
    <row r="30" spans="1:15" ht="14.25">
      <c r="A30" s="27" t="s">
        <v>92</v>
      </c>
      <c r="B30" s="27"/>
      <c r="F30" s="40"/>
      <c r="G30" s="140">
        <v>3.45</v>
      </c>
      <c r="H30" s="42"/>
      <c r="I30" s="42"/>
      <c r="J30" s="27"/>
      <c r="K30" s="27"/>
      <c r="L30" s="27"/>
      <c r="M30" s="156">
        <v>12</v>
      </c>
      <c r="N30" s="27"/>
      <c r="O30" s="27"/>
    </row>
    <row r="31" spans="1:15" ht="14.25">
      <c r="A31" s="27" t="str">
        <f>A9</f>
        <v>  Tractor</v>
      </c>
      <c r="B31" s="27">
        <f>B9</f>
        <v>55</v>
      </c>
      <c r="C31" s="142">
        <v>0.02</v>
      </c>
      <c r="D31" s="46">
        <f>D9*C31</f>
        <v>463</v>
      </c>
      <c r="E31" s="60">
        <f>IF(D31&gt;0,D31/J9,0)</f>
        <v>0.926</v>
      </c>
      <c r="F31" s="52">
        <f>B31*0.044</f>
        <v>2.42</v>
      </c>
      <c r="G31" s="61">
        <f>$G$30</f>
        <v>3.45</v>
      </c>
      <c r="H31" s="60">
        <f>(F31*G31)*1.15</f>
        <v>9.60135</v>
      </c>
      <c r="I31" s="60">
        <f>E31+H31</f>
        <v>10.52735</v>
      </c>
      <c r="J31" s="96">
        <f>L9</f>
        <v>3.7</v>
      </c>
      <c r="K31" s="40">
        <f>N9</f>
        <v>2</v>
      </c>
      <c r="L31" s="47">
        <f>IF(K31&gt;0,(I31/J31)*K31*1.1,0)</f>
        <v>6.259505405405406</v>
      </c>
      <c r="M31" s="114">
        <f>$M$30</f>
        <v>12</v>
      </c>
      <c r="N31" s="47">
        <f>IF(K31&gt;0,(M31/J31)*K31*1.15,0)</f>
        <v>7.459459459459458</v>
      </c>
      <c r="O31" s="47">
        <f>L31+N31</f>
        <v>13.718964864864864</v>
      </c>
    </row>
    <row r="32" spans="1:15" ht="14.25">
      <c r="A32" s="27" t="str">
        <f>A10</f>
        <v>  + Bushhog</v>
      </c>
      <c r="B32" s="27"/>
      <c r="C32" s="142">
        <v>0.01</v>
      </c>
      <c r="D32" s="46">
        <f>D10*C32</f>
        <v>42.25</v>
      </c>
      <c r="E32" s="60">
        <f>IF(D32&gt;0,D32/J10,0)</f>
        <v>0.4225</v>
      </c>
      <c r="F32" s="52">
        <v>0</v>
      </c>
      <c r="G32" s="61">
        <v>0</v>
      </c>
      <c r="H32" s="60">
        <v>0</v>
      </c>
      <c r="I32" s="60">
        <f>E32+H32</f>
        <v>0.4225</v>
      </c>
      <c r="J32" s="96">
        <f>L10</f>
        <v>3.7</v>
      </c>
      <c r="K32" s="40">
        <f>N10</f>
        <v>2</v>
      </c>
      <c r="L32" s="47">
        <f>IF(K32&gt;0,(I32/J32)*K32,0)</f>
        <v>0.22837837837837835</v>
      </c>
      <c r="M32" s="62"/>
      <c r="N32" s="62"/>
      <c r="O32" s="47">
        <f>L32+N32</f>
        <v>0.22837837837837835</v>
      </c>
    </row>
    <row r="33" spans="1:15" ht="14.25">
      <c r="A33" s="27" t="str">
        <f>A12</f>
        <v>  Tractor</v>
      </c>
      <c r="B33" s="27">
        <f>B12</f>
        <v>55</v>
      </c>
      <c r="C33" s="142">
        <v>0.02</v>
      </c>
      <c r="D33" s="46">
        <f>D12*C33</f>
        <v>463</v>
      </c>
      <c r="E33" s="60">
        <f>IF(D33&gt;0,D33/J12,0)</f>
        <v>0.926</v>
      </c>
      <c r="F33" s="52">
        <f>B33*0.044</f>
        <v>2.42</v>
      </c>
      <c r="G33" s="61">
        <f>$G$30</f>
        <v>3.45</v>
      </c>
      <c r="H33" s="60">
        <f>(F33*G33)*1.15</f>
        <v>9.60135</v>
      </c>
      <c r="I33" s="60">
        <f>E33+H33</f>
        <v>10.52735</v>
      </c>
      <c r="J33" s="96">
        <f>L12</f>
        <v>0</v>
      </c>
      <c r="K33" s="40">
        <f>N12</f>
        <v>0</v>
      </c>
      <c r="L33" s="47">
        <f>IF(K33&gt;0,(I33/J33)*K33*1.1,0)</f>
        <v>0</v>
      </c>
      <c r="M33" s="114">
        <f>$M$30</f>
        <v>12</v>
      </c>
      <c r="N33" s="47">
        <f>IF(K33&gt;0,(M33/J33)*K33*1.15,0)</f>
        <v>0</v>
      </c>
      <c r="O33" s="47">
        <f>L33+N33</f>
        <v>0</v>
      </c>
    </row>
    <row r="34" spans="1:15" ht="14.25">
      <c r="A34" s="27" t="str">
        <f>A13</f>
        <v>  + Other Equipment</v>
      </c>
      <c r="B34" s="27"/>
      <c r="C34" s="142">
        <v>0.01</v>
      </c>
      <c r="D34" s="46">
        <f>D13*C34</f>
        <v>0</v>
      </c>
      <c r="E34" s="60">
        <f>IF(D34&gt;0,D34/J13,0)</f>
        <v>0</v>
      </c>
      <c r="F34" s="52">
        <v>0</v>
      </c>
      <c r="G34" s="61">
        <v>0</v>
      </c>
      <c r="H34" s="60">
        <v>0</v>
      </c>
      <c r="I34" s="60">
        <f>E34+H34</f>
        <v>0</v>
      </c>
      <c r="J34" s="96">
        <f>L13</f>
        <v>0</v>
      </c>
      <c r="K34" s="40">
        <f>N13</f>
        <v>0</v>
      </c>
      <c r="L34" s="47">
        <f>IF(K34&gt;0,(I34/J34)*K34,0)</f>
        <v>0</v>
      </c>
      <c r="M34" s="62"/>
      <c r="N34" s="62"/>
      <c r="O34" s="47">
        <f>L34+N34</f>
        <v>0</v>
      </c>
    </row>
    <row r="35" spans="1:15" ht="13.5" customHeight="1">
      <c r="A35" s="53" t="str">
        <f>A14</f>
        <v>  Pickup Truck, 3/4 Ton</v>
      </c>
      <c r="B35" s="53"/>
      <c r="C35" s="142">
        <v>0.02</v>
      </c>
      <c r="D35" s="46">
        <f>D14*C35</f>
        <v>604.5</v>
      </c>
      <c r="E35" s="60">
        <f>IF(D35&gt;0,D35/J14,0)</f>
        <v>1.209</v>
      </c>
      <c r="F35" s="155">
        <v>3</v>
      </c>
      <c r="G35" s="61">
        <f>$G$30</f>
        <v>3.45</v>
      </c>
      <c r="H35" s="60">
        <f>(F35*G35)*1.15</f>
        <v>11.9025</v>
      </c>
      <c r="I35" s="60">
        <f>E35+H35</f>
        <v>13.1115</v>
      </c>
      <c r="J35" s="96">
        <f>L14</f>
        <v>10</v>
      </c>
      <c r="K35" s="41">
        <f>N14</f>
        <v>4</v>
      </c>
      <c r="L35" s="47">
        <f>IF(K35&gt;0,(I35/J35)*K35,0)</f>
        <v>5.2446</v>
      </c>
      <c r="M35" s="114">
        <f>$M$30</f>
        <v>12</v>
      </c>
      <c r="N35" s="47">
        <f>IF(K35&gt;0,(M35/J35)*K35*1.15,0)</f>
        <v>5.52</v>
      </c>
      <c r="O35" s="47">
        <f>L35+N35</f>
        <v>10.7646</v>
      </c>
    </row>
    <row r="36" spans="1:15" ht="15">
      <c r="A36" s="105" t="s">
        <v>54</v>
      </c>
      <c r="B36" s="105"/>
      <c r="C36" s="105"/>
      <c r="D36" s="106"/>
      <c r="E36" s="106"/>
      <c r="F36" s="106"/>
      <c r="G36" s="106"/>
      <c r="H36" s="106"/>
      <c r="I36" s="106"/>
      <c r="J36" s="106"/>
      <c r="K36" s="106"/>
      <c r="L36" s="108">
        <f>SUM(L31:L35)</f>
        <v>11.732483783783785</v>
      </c>
      <c r="M36" s="109"/>
      <c r="N36" s="108">
        <f>SUM(N31:N35)</f>
        <v>12.979459459459457</v>
      </c>
      <c r="O36" s="108">
        <f>SUM(O31:O35)</f>
        <v>24.71194324324324</v>
      </c>
    </row>
    <row r="37" spans="1:13" ht="16.5">
      <c r="A37" s="57" t="s">
        <v>117</v>
      </c>
      <c r="B37" s="5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16.5">
      <c r="A38" s="57" t="s">
        <v>74</v>
      </c>
      <c r="B38" s="5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6.5">
      <c r="A39" s="57" t="s">
        <v>98</v>
      </c>
      <c r="B39" s="5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16.5">
      <c r="A40" s="57" t="s">
        <v>99</v>
      </c>
      <c r="B40" s="5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7.25" thickBot="1">
      <c r="A41" s="57" t="s">
        <v>100</v>
      </c>
      <c r="B41" s="5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5" ht="18" customHeight="1" thickTop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5"/>
      <c r="O42" s="65"/>
    </row>
    <row r="43" spans="1:13" ht="15">
      <c r="A43" s="66" t="s">
        <v>75</v>
      </c>
      <c r="B43" s="6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14.25">
      <c r="A44" s="27" t="s">
        <v>116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3" ht="14.25">
      <c r="A45" s="27" t="s">
        <v>115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ht="14.25">
      <c r="A46" s="27" t="s">
        <v>114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3" ht="14.25">
      <c r="A47" s="27" t="s">
        <v>113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3" ht="14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13" ht="14.25">
      <c r="A49" s="32" t="s">
        <v>125</v>
      </c>
      <c r="B49" s="32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3" ht="15">
      <c r="A50" s="27"/>
      <c r="B50" s="27"/>
      <c r="C50" s="27"/>
      <c r="D50" s="172" t="s">
        <v>112</v>
      </c>
      <c r="E50" s="173"/>
      <c r="F50" s="173"/>
      <c r="G50" s="173"/>
      <c r="H50" s="173"/>
      <c r="I50" s="27"/>
      <c r="J50" s="27"/>
      <c r="K50" s="27"/>
      <c r="L50" s="27"/>
      <c r="M50" s="27"/>
    </row>
    <row r="51" spans="1:13" ht="14.25">
      <c r="A51" s="27"/>
      <c r="B51" s="27"/>
      <c r="C51" s="27"/>
      <c r="D51" s="86"/>
      <c r="E51" s="52"/>
      <c r="F51" s="86" t="s">
        <v>76</v>
      </c>
      <c r="G51" s="52"/>
      <c r="H51" s="86"/>
      <c r="I51" s="27"/>
      <c r="J51" s="27"/>
      <c r="K51" s="27"/>
      <c r="L51" s="27"/>
      <c r="M51" s="27"/>
    </row>
    <row r="52" spans="1:13" ht="14.25">
      <c r="A52" s="27"/>
      <c r="B52" s="27"/>
      <c r="C52" s="27"/>
      <c r="D52" s="142">
        <v>-0.1</v>
      </c>
      <c r="E52" s="27"/>
      <c r="F52" s="40" t="s">
        <v>111</v>
      </c>
      <c r="G52" s="27"/>
      <c r="H52" s="157" t="s">
        <v>110</v>
      </c>
      <c r="I52" s="27"/>
      <c r="J52" s="27"/>
      <c r="K52" s="27"/>
      <c r="L52" s="27"/>
      <c r="M52" s="27"/>
    </row>
    <row r="53" spans="2:13" ht="14.25">
      <c r="B53" s="174" t="s">
        <v>77</v>
      </c>
      <c r="C53" s="143">
        <v>-0.1</v>
      </c>
      <c r="D53" s="68">
        <f>(('Clover-GrassAnnualBudget87-2'!E25)*(1+C53))/('Clover-GrassAnnualBudget87-2'!D29*(1+D52))</f>
        <v>67.64239197236509</v>
      </c>
      <c r="E53" s="69"/>
      <c r="F53" s="80">
        <f>('Clover-GrassAnnualBudget87-2'!E25*(1+C53))/'Clover-GrassAnnualBudget87-2'!D29</f>
        <v>60.87815277512859</v>
      </c>
      <c r="G53" s="69"/>
      <c r="H53" s="70">
        <f>(('Clover-GrassAnnualBudget87-2'!E25)*(1+C53))/(+'Clover-GrassAnnualBudget87-2'!D29*(1+H52))</f>
        <v>55.34377525011689</v>
      </c>
      <c r="I53" s="27"/>
      <c r="J53" s="27"/>
      <c r="K53" s="27"/>
      <c r="L53" s="27"/>
      <c r="M53" s="27"/>
    </row>
    <row r="54" spans="2:13" ht="14.25">
      <c r="B54" s="174"/>
      <c r="C54" s="32"/>
      <c r="D54" s="71"/>
      <c r="E54" s="72"/>
      <c r="F54" s="73"/>
      <c r="G54" s="72"/>
      <c r="H54" s="74"/>
      <c r="I54" s="27"/>
      <c r="J54" s="27"/>
      <c r="K54" s="27"/>
      <c r="L54" s="27"/>
      <c r="M54" s="27"/>
    </row>
    <row r="55" spans="2:13" ht="14.25">
      <c r="B55" s="174"/>
      <c r="C55" s="75" t="s">
        <v>76</v>
      </c>
      <c r="D55" s="71">
        <f>'Clover-GrassAnnualBudget87-2'!E25/('Clover-GrassAnnualBudget87-2'!D29*(1+D52))</f>
        <v>75.15821330262789</v>
      </c>
      <c r="E55" s="72"/>
      <c r="F55" s="95">
        <f>'Clover-GrassAnnualBudget87-2'!E25/'Clover-GrassAnnualBudget87-2'!D29</f>
        <v>67.6423919723651</v>
      </c>
      <c r="G55" s="72"/>
      <c r="H55" s="82">
        <f>'Clover-GrassAnnualBudget87-2'!E25/('Clover-GrassAnnualBudget87-2'!D29*(1+H52))</f>
        <v>61.493083611241</v>
      </c>
      <c r="I55" s="27"/>
      <c r="J55" s="27"/>
      <c r="K55" s="27"/>
      <c r="L55" s="27"/>
      <c r="M55" s="27"/>
    </row>
    <row r="56" spans="2:13" ht="14.25">
      <c r="B56" s="174"/>
      <c r="C56" s="32"/>
      <c r="D56" s="71"/>
      <c r="E56" s="72"/>
      <c r="F56" s="73"/>
      <c r="G56" s="72"/>
      <c r="H56" s="74"/>
      <c r="I56" s="27"/>
      <c r="J56" s="27"/>
      <c r="K56" s="27"/>
      <c r="L56" s="27"/>
      <c r="M56" s="27"/>
    </row>
    <row r="57" spans="2:13" ht="14.25">
      <c r="B57" s="174"/>
      <c r="C57" s="144" t="s">
        <v>110</v>
      </c>
      <c r="D57" s="76">
        <f>('Clover-GrassAnnualBudget87-2'!E25*(1+C57))/('Clover-GrassAnnualBudget87-2'!D29*(1+D52))</f>
        <v>82.67403463289068</v>
      </c>
      <c r="E57" s="77"/>
      <c r="F57" s="81">
        <f>('Clover-GrassAnnualBudget87-2'!E25*(1+C57))/'Clover-GrassAnnualBudget87-2'!D29</f>
        <v>74.40663116960162</v>
      </c>
      <c r="G57" s="77"/>
      <c r="H57" s="83">
        <f>('Clover-GrassAnnualBudget87-2'!E25*(1+C57))/('Clover-GrassAnnualBudget87-2'!D29*(1+H52))</f>
        <v>67.6423919723651</v>
      </c>
      <c r="I57" s="27"/>
      <c r="J57" s="27"/>
      <c r="K57" s="27"/>
      <c r="L57" s="27"/>
      <c r="M57" s="27"/>
    </row>
  </sheetData>
  <sheetProtection sheet="1" selectLockedCells="1"/>
  <mergeCells count="2">
    <mergeCell ref="D50:H50"/>
    <mergeCell ref="B53:B57"/>
  </mergeCells>
  <printOptions horizontalCentered="1"/>
  <pageMargins left="0.7" right="0.58" top="1" bottom="1" header="0.5" footer="0.5"/>
  <pageSetup horizontalDpi="1200" verticalDpi="12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NCSU-ARE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Benson</dc:creator>
  <cp:keywords/>
  <dc:description/>
  <cp:lastModifiedBy>gabenson</cp:lastModifiedBy>
  <cp:lastPrinted>2013-05-06T21:08:31Z</cp:lastPrinted>
  <dcterms:created xsi:type="dcterms:W3CDTF">2005-07-25T18:21:32Z</dcterms:created>
  <dcterms:modified xsi:type="dcterms:W3CDTF">2013-07-16T11:45:03Z</dcterms:modified>
  <cp:category/>
  <cp:version/>
  <cp:contentType/>
  <cp:contentStatus/>
</cp:coreProperties>
</file>